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4ce.sharepoint.com/Documents partages/31 - Investissement/Financial Regulations/Impact Réglementation Prudentielle/05_Modèles/"/>
    </mc:Choice>
  </mc:AlternateContent>
  <xr:revisionPtr revIDLastSave="29" documentId="8_{C7EBDFA4-B956-4807-A3F6-ED384BDBB610}" xr6:coauthVersionLast="47" xr6:coauthVersionMax="47" xr10:uidLastSave="{56D1EB9E-BE6D-40AC-B56D-B0C772E71C09}"/>
  <bookViews>
    <workbookView minimized="1" xWindow="2010" yWindow="795" windowWidth="11880" windowHeight="12105" xr2:uid="{3B46D35D-C027-4065-8AEB-829352CB92C7}"/>
  </bookViews>
  <sheets>
    <sheet name="Impact GSF-BPF sur crédits" sheetId="7" r:id="rId1"/>
    <sheet name="Feuille de calcul" sheetId="8" r:id="rId2"/>
    <sheet name="Annexe-ACPR" sheetId="4" r:id="rId3"/>
  </sheets>
  <definedNames>
    <definedName name="_xlnm._FilterDatabase" localSheetId="0" hidden="1">'Impact GSF-BPF sur crédits'!$B$39:$C$42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7" l="1"/>
  <c r="L48" i="7"/>
  <c r="K48" i="7"/>
  <c r="J48" i="7"/>
  <c r="M30" i="8"/>
  <c r="M31" i="8"/>
  <c r="M51" i="8"/>
  <c r="K40" i="4"/>
  <c r="M52" i="8"/>
  <c r="F52" i="8"/>
  <c r="G52" i="8" s="1"/>
  <c r="E52" i="8"/>
  <c r="G51" i="8"/>
  <c r="F51" i="8"/>
  <c r="E51" i="8"/>
  <c r="M50" i="8"/>
  <c r="H50" i="8"/>
  <c r="G50" i="8"/>
  <c r="F50" i="8"/>
  <c r="E50" i="8"/>
  <c r="I50" i="8" s="1"/>
  <c r="M49" i="8"/>
  <c r="F49" i="8"/>
  <c r="G49" i="8" s="1"/>
  <c r="E49" i="8"/>
  <c r="M48" i="8"/>
  <c r="N48" i="8" s="1"/>
  <c r="O48" i="8" s="1"/>
  <c r="P48" i="8" s="1"/>
  <c r="F48" i="8"/>
  <c r="G48" i="8" s="1"/>
  <c r="E48" i="8"/>
  <c r="E54" i="4"/>
  <c r="F54" i="4"/>
  <c r="G54" i="4"/>
  <c r="H54" i="4"/>
  <c r="I54" i="4"/>
  <c r="J54" i="4"/>
  <c r="K54" i="4"/>
  <c r="L6" i="4"/>
  <c r="L53" i="4"/>
  <c r="L52" i="4"/>
  <c r="L54" i="4" s="1"/>
  <c r="L51" i="4"/>
  <c r="M39" i="8"/>
  <c r="F39" i="8"/>
  <c r="G39" i="8" s="1"/>
  <c r="E39" i="8"/>
  <c r="F30" i="8"/>
  <c r="G30" i="8" s="1"/>
  <c r="E30" i="8"/>
  <c r="E19" i="8"/>
  <c r="F19" i="8"/>
  <c r="G19" i="8" s="1"/>
  <c r="M19" i="8"/>
  <c r="N30" i="8" l="1"/>
  <c r="O30" i="8" s="1"/>
  <c r="P30" i="8" s="1"/>
  <c r="N39" i="8"/>
  <c r="O39" i="8" s="1"/>
  <c r="P39" i="8" s="1"/>
  <c r="N49" i="8"/>
  <c r="O49" i="8" s="1"/>
  <c r="P49" i="8" s="1"/>
  <c r="I51" i="8"/>
  <c r="N52" i="8"/>
  <c r="O52" i="8" s="1"/>
  <c r="P52" i="8" s="1"/>
  <c r="N50" i="8"/>
  <c r="O50" i="8" s="1"/>
  <c r="P50" i="8" s="1"/>
  <c r="N51" i="8"/>
  <c r="O51" i="8" s="1"/>
  <c r="P51" i="8" s="1"/>
  <c r="I48" i="8"/>
  <c r="H48" i="8"/>
  <c r="J51" i="8"/>
  <c r="I52" i="8"/>
  <c r="H52" i="8"/>
  <c r="H49" i="8"/>
  <c r="I49" i="8"/>
  <c r="J50" i="8"/>
  <c r="H51" i="8"/>
  <c r="I39" i="8"/>
  <c r="H39" i="8"/>
  <c r="I30" i="8"/>
  <c r="H30" i="8"/>
  <c r="N19" i="8"/>
  <c r="I19" i="8"/>
  <c r="H19" i="8"/>
  <c r="R50" i="8" l="1"/>
  <c r="R51" i="8"/>
  <c r="O19" i="8"/>
  <c r="P19" i="8" s="1"/>
  <c r="J52" i="8"/>
  <c r="R52" i="8" s="1"/>
  <c r="J49" i="8"/>
  <c r="R49" i="8" s="1"/>
  <c r="J48" i="8"/>
  <c r="R48" i="8" s="1"/>
  <c r="J38" i="4"/>
  <c r="K37" i="4"/>
  <c r="K36" i="4"/>
  <c r="I38" i="4"/>
  <c r="E47" i="4"/>
  <c r="G47" i="4" s="1"/>
  <c r="I47" i="4"/>
  <c r="J47" i="4" s="1"/>
  <c r="E46" i="4"/>
  <c r="G46" i="4" s="1"/>
  <c r="I46" i="4"/>
  <c r="D6" i="7" a="1"/>
  <c r="D6" i="7" s="1"/>
  <c r="D7" i="7" a="1"/>
  <c r="D7" i="7" s="1"/>
  <c r="D5" i="7" a="1"/>
  <c r="D5" i="7" s="1"/>
  <c r="D13" i="7"/>
  <c r="D11" i="7"/>
  <c r="D9" i="7"/>
  <c r="M38" i="8"/>
  <c r="M41" i="8"/>
  <c r="M37" i="8"/>
  <c r="M29" i="8"/>
  <c r="M32" i="8"/>
  <c r="M28" i="8"/>
  <c r="M18" i="8"/>
  <c r="M20" i="8"/>
  <c r="M21" i="8"/>
  <c r="M17" i="8"/>
  <c r="B10" i="8"/>
  <c r="J39" i="8" s="1"/>
  <c r="R39" i="8" s="1"/>
  <c r="F41" i="8"/>
  <c r="G41" i="8" s="1"/>
  <c r="H41" i="8" s="1"/>
  <c r="E41" i="8"/>
  <c r="F40" i="8"/>
  <c r="G40" i="8" s="1"/>
  <c r="H40" i="8" s="1"/>
  <c r="E40" i="8"/>
  <c r="F38" i="8"/>
  <c r="G38" i="8" s="1"/>
  <c r="H38" i="8" s="1"/>
  <c r="E38" i="8"/>
  <c r="F37" i="8"/>
  <c r="G37" i="8" s="1"/>
  <c r="H37" i="8" s="1"/>
  <c r="E37" i="8"/>
  <c r="F32" i="8"/>
  <c r="G32" i="8" s="1"/>
  <c r="H32" i="8" s="1"/>
  <c r="E32" i="8"/>
  <c r="F31" i="8"/>
  <c r="G31" i="8" s="1"/>
  <c r="E31" i="8"/>
  <c r="F29" i="8"/>
  <c r="G29" i="8" s="1"/>
  <c r="E29" i="8"/>
  <c r="F28" i="8"/>
  <c r="G28" i="8" s="1"/>
  <c r="E28" i="8"/>
  <c r="F21" i="8"/>
  <c r="G21" i="8" s="1"/>
  <c r="H21" i="8" s="1"/>
  <c r="E21" i="8"/>
  <c r="F20" i="8"/>
  <c r="G20" i="8" s="1"/>
  <c r="H20" i="8" s="1"/>
  <c r="E20" i="8"/>
  <c r="F18" i="8"/>
  <c r="G18" i="8" s="1"/>
  <c r="E18" i="8"/>
  <c r="F17" i="8"/>
  <c r="G17" i="8" s="1"/>
  <c r="E17" i="8"/>
  <c r="F38" i="4"/>
  <c r="G38" i="4"/>
  <c r="H38" i="4"/>
  <c r="E38" i="4"/>
  <c r="O6" i="4"/>
  <c r="N6" i="4"/>
  <c r="M6" i="4"/>
  <c r="K52" i="8" l="1"/>
  <c r="L52" i="8" s="1"/>
  <c r="K48" i="8"/>
  <c r="L48" i="8" s="1"/>
  <c r="K38" i="8"/>
  <c r="K30" i="8"/>
  <c r="K19" i="8"/>
  <c r="Q52" i="8"/>
  <c r="S52" i="8" s="1"/>
  <c r="T52" i="8" s="1"/>
  <c r="U52" i="8" s="1"/>
  <c r="Q48" i="8"/>
  <c r="S48" i="8" s="1"/>
  <c r="Q38" i="8"/>
  <c r="Q30" i="8"/>
  <c r="Q19" i="8"/>
  <c r="K31" i="8"/>
  <c r="Q39" i="8"/>
  <c r="Q17" i="8"/>
  <c r="K51" i="8"/>
  <c r="L51" i="8" s="1"/>
  <c r="K41" i="8"/>
  <c r="K37" i="8"/>
  <c r="K29" i="8"/>
  <c r="K20" i="8"/>
  <c r="Q51" i="8"/>
  <c r="S51" i="8" s="1"/>
  <c r="Q41" i="8"/>
  <c r="Q37" i="8"/>
  <c r="Q29" i="8"/>
  <c r="Q20" i="8"/>
  <c r="K49" i="8"/>
  <c r="L49" i="8" s="1"/>
  <c r="K18" i="8"/>
  <c r="K17" i="8"/>
  <c r="Q31" i="8"/>
  <c r="K50" i="8"/>
  <c r="L50" i="8" s="1"/>
  <c r="K40" i="8"/>
  <c r="K32" i="8"/>
  <c r="K28" i="8"/>
  <c r="K21" i="8"/>
  <c r="Q50" i="8"/>
  <c r="S50" i="8" s="1"/>
  <c r="Q40" i="8"/>
  <c r="Q32" i="8"/>
  <c r="Q28" i="8"/>
  <c r="Q21" i="8"/>
  <c r="K39" i="8"/>
  <c r="Q49" i="8"/>
  <c r="S49" i="8" s="1"/>
  <c r="Q18" i="8"/>
  <c r="K38" i="4"/>
  <c r="L47" i="4"/>
  <c r="L46" i="4"/>
  <c r="J19" i="8"/>
  <c r="R19" i="8" s="1"/>
  <c r="J30" i="8"/>
  <c r="R30" i="8" s="1"/>
  <c r="K47" i="4"/>
  <c r="J46" i="4"/>
  <c r="K46" i="4"/>
  <c r="N31" i="8"/>
  <c r="N40" i="8"/>
  <c r="N18" i="8"/>
  <c r="N29" i="8"/>
  <c r="N38" i="8"/>
  <c r="N32" i="8"/>
  <c r="N41" i="8"/>
  <c r="N37" i="8"/>
  <c r="N28" i="8"/>
  <c r="I20" i="8"/>
  <c r="I31" i="8"/>
  <c r="I28" i="8"/>
  <c r="J28" i="8" s="1"/>
  <c r="N20" i="8"/>
  <c r="I29" i="8"/>
  <c r="J29" i="8" s="1"/>
  <c r="H29" i="8"/>
  <c r="I17" i="8"/>
  <c r="H17" i="8"/>
  <c r="I21" i="8"/>
  <c r="J21" i="8" s="1"/>
  <c r="N21" i="8"/>
  <c r="N17" i="8"/>
  <c r="I18" i="8"/>
  <c r="H18" i="8"/>
  <c r="J31" i="8"/>
  <c r="I38" i="8"/>
  <c r="H28" i="8"/>
  <c r="H31" i="8"/>
  <c r="I37" i="8"/>
  <c r="I40" i="8"/>
  <c r="I32" i="8"/>
  <c r="I41" i="8"/>
  <c r="T49" i="8" l="1"/>
  <c r="U49" i="8" s="1"/>
  <c r="T48" i="8"/>
  <c r="U48" i="8" s="1"/>
  <c r="T50" i="8"/>
  <c r="U50" i="8" s="1"/>
  <c r="T51" i="8"/>
  <c r="U51" i="8" s="1"/>
  <c r="O20" i="8"/>
  <c r="P20" i="8" s="1"/>
  <c r="O38" i="8"/>
  <c r="P38" i="8" s="1"/>
  <c r="O31" i="8"/>
  <c r="P31" i="8" s="1"/>
  <c r="R31" i="8" s="1"/>
  <c r="O17" i="8"/>
  <c r="P17" i="8" s="1"/>
  <c r="O29" i="8"/>
  <c r="P29" i="8" s="1"/>
  <c r="R29" i="8" s="1"/>
  <c r="O21" i="8"/>
  <c r="P21" i="8" s="1"/>
  <c r="R21" i="8" s="1"/>
  <c r="O41" i="8"/>
  <c r="P41" i="8" s="1"/>
  <c r="O18" i="8"/>
  <c r="P18" i="8" s="1"/>
  <c r="O28" i="8"/>
  <c r="P28" i="8" s="1"/>
  <c r="R28" i="8" s="1"/>
  <c r="O37" i="8"/>
  <c r="P37" i="8" s="1"/>
  <c r="O32" i="8"/>
  <c r="P32" i="8" s="1"/>
  <c r="O40" i="8"/>
  <c r="P40" i="8" s="1"/>
  <c r="S19" i="8"/>
  <c r="L19" i="8"/>
  <c r="S30" i="8"/>
  <c r="L30" i="8"/>
  <c r="S39" i="8"/>
  <c r="L39" i="8"/>
  <c r="L17" i="8"/>
  <c r="M46" i="4"/>
  <c r="J17" i="8"/>
  <c r="J20" i="8"/>
  <c r="R20" i="8" s="1"/>
  <c r="L28" i="8"/>
  <c r="J32" i="8"/>
  <c r="J38" i="8"/>
  <c r="J37" i="8"/>
  <c r="J41" i="8"/>
  <c r="J40" i="8"/>
  <c r="J18" i="8"/>
  <c r="R32" i="8" l="1"/>
  <c r="S32" i="8" s="1"/>
  <c r="R41" i="8"/>
  <c r="R17" i="8"/>
  <c r="S17" i="8" s="1"/>
  <c r="T17" i="8" s="1"/>
  <c r="U17" i="8" s="1"/>
  <c r="R37" i="8"/>
  <c r="S37" i="8" s="1"/>
  <c r="R18" i="8"/>
  <c r="S18" i="8" s="1"/>
  <c r="R38" i="8"/>
  <c r="S38" i="8" s="1"/>
  <c r="R40" i="8"/>
  <c r="S40" i="8" s="1"/>
  <c r="T19" i="8"/>
  <c r="U19" i="8" s="1"/>
  <c r="T30" i="8"/>
  <c r="U30" i="8" s="1"/>
  <c r="T39" i="8"/>
  <c r="U39" i="8" s="1"/>
  <c r="L20" i="8"/>
  <c r="S20" i="8"/>
  <c r="S28" i="8"/>
  <c r="T28" i="8" s="1"/>
  <c r="U28" i="8" s="1"/>
  <c r="L31" i="8"/>
  <c r="S31" i="8"/>
  <c r="L21" i="8"/>
  <c r="S21" i="8"/>
  <c r="L32" i="8"/>
  <c r="S29" i="8"/>
  <c r="L29" i="8"/>
  <c r="L18" i="8"/>
  <c r="S41" i="8"/>
  <c r="L37" i="8"/>
  <c r="L40" i="8"/>
  <c r="L41" i="8"/>
  <c r="L38" i="8"/>
  <c r="T20" i="8" l="1"/>
  <c r="T31" i="8"/>
  <c r="T21" i="8"/>
  <c r="U21" i="8" s="1"/>
  <c r="T18" i="8"/>
  <c r="U18" i="8" s="1"/>
  <c r="T32" i="8"/>
  <c r="U32" i="8" s="1"/>
  <c r="T38" i="8"/>
  <c r="U38" i="8" s="1"/>
  <c r="T41" i="8"/>
  <c r="U41" i="8" s="1"/>
  <c r="T29" i="8"/>
  <c r="U29" i="8" s="1"/>
  <c r="T40" i="8"/>
  <c r="T37" i="8"/>
  <c r="U37" i="8" s="1"/>
  <c r="U40" i="8" l="1"/>
  <c r="I11" i="7" s="1"/>
  <c r="L11" i="7" s="1"/>
  <c r="M11" i="7" s="1"/>
  <c r="L49" i="7"/>
  <c r="U31" i="8"/>
  <c r="K49" i="7"/>
  <c r="U20" i="8"/>
  <c r="L7" i="7" s="1"/>
  <c r="M7" i="7" s="1"/>
  <c r="J49" i="7"/>
  <c r="I9" i="7" l="1"/>
  <c r="L9" i="7" s="1"/>
  <c r="M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<sst xmlns="http://schemas.openxmlformats.org/spreadsheetml/2006/main" count="215" uniqueCount="91">
  <si>
    <t>Entrées pour le modèle (masquer colonne D si Libre, et E sinon)</t>
  </si>
  <si>
    <t>Sorties du modèle</t>
  </si>
  <si>
    <t>Type de projet</t>
  </si>
  <si>
    <t>Libre</t>
  </si>
  <si>
    <t>Impact sur le coût du capital</t>
  </si>
  <si>
    <t>Impact sur le coût total du projet</t>
  </si>
  <si>
    <t xml:space="preserve">Remarque 1: l'impact sur le coût total du projet dépend de la part du financement bancaire, et du coût de cette bancaire. </t>
  </si>
  <si>
    <t>Même en visant un impact maximum, atteint pour 100% de financement bancaire, on a une variation du prix de moins de 0,5%.</t>
  </si>
  <si>
    <t>taille de projet (en k€)</t>
  </si>
  <si>
    <t>Coût de la dette bancaire rapporté au montant emprunté</t>
  </si>
  <si>
    <t>En proportion</t>
  </si>
  <si>
    <t>En k€</t>
  </si>
  <si>
    <t>Part du financement bancaire</t>
  </si>
  <si>
    <r>
      <t xml:space="preserve">SI GSF fort, </t>
    </r>
    <r>
      <rPr>
        <b/>
        <sz val="11"/>
        <color theme="1"/>
        <rFont val="Calibri"/>
        <family val="2"/>
        <scheme val="minor"/>
      </rPr>
      <t>variation en proportion</t>
    </r>
    <r>
      <rPr>
        <sz val="11"/>
        <color theme="1"/>
        <rFont val="Calibri"/>
        <family val="2"/>
        <scheme val="minor"/>
      </rPr>
      <t xml:space="preserve"> du taux</t>
    </r>
  </si>
  <si>
    <t>Niveau du GSF fort</t>
  </si>
  <si>
    <t>Baisse des exigences prudentielles</t>
  </si>
  <si>
    <r>
      <t xml:space="preserve">Si GSF moyen, </t>
    </r>
    <r>
      <rPr>
        <b/>
        <sz val="11"/>
        <color theme="1"/>
        <rFont val="Calibri"/>
        <family val="2"/>
        <scheme val="minor"/>
      </rPr>
      <t>variation en proportion</t>
    </r>
    <r>
      <rPr>
        <sz val="11"/>
        <color theme="1"/>
        <rFont val="Calibri"/>
        <family val="2"/>
        <scheme val="minor"/>
      </rPr>
      <t xml:space="preserve"> du taux</t>
    </r>
  </si>
  <si>
    <t>Niveau du GSF moyen</t>
  </si>
  <si>
    <r>
      <t xml:space="preserve">SI GSF faible, </t>
    </r>
    <r>
      <rPr>
        <b/>
        <sz val="11"/>
        <color theme="1"/>
        <rFont val="Calibri"/>
        <family val="2"/>
        <scheme val="minor"/>
      </rPr>
      <t>variation en proportio</t>
    </r>
    <r>
      <rPr>
        <sz val="11"/>
        <color theme="1"/>
        <rFont val="Calibri"/>
        <family val="2"/>
        <scheme val="minor"/>
      </rPr>
      <t>n du taux</t>
    </r>
  </si>
  <si>
    <t>Niveau du GSF faible</t>
  </si>
  <si>
    <t>Réno</t>
  </si>
  <si>
    <t>Eolien</t>
  </si>
  <si>
    <t>Auto</t>
  </si>
  <si>
    <t>Taille</t>
  </si>
  <si>
    <t>Coût dette</t>
  </si>
  <si>
    <t>Part financement</t>
  </si>
  <si>
    <t>Niveau du GSF</t>
  </si>
  <si>
    <t>Variation en points de pourcentage</t>
  </si>
  <si>
    <t>Entrées pour le modèle</t>
  </si>
  <si>
    <t>Objectif du ROE</t>
  </si>
  <si>
    <t>Taux bénéfices/PNB</t>
  </si>
  <si>
    <t>Résultat avt impot/PNB</t>
  </si>
  <si>
    <t>ATTENTION, la somme doit faire 1</t>
  </si>
  <si>
    <t>Taux Frais généraux/PNB</t>
  </si>
  <si>
    <t>Source: Bâle III, Credit risk capital requirement</t>
  </si>
  <si>
    <t>Donnée ACPR</t>
  </si>
  <si>
    <t>Calcul à partir des Documents d'enregistrement universels, voir Annexe</t>
  </si>
  <si>
    <t>Donnée d'entrée</t>
  </si>
  <si>
    <t>ROE*capitaux mobilisés</t>
  </si>
  <si>
    <t>Cf K15</t>
  </si>
  <si>
    <t>On somme les frais généraux au résultat avant impôt</t>
  </si>
  <si>
    <t>On rajoute le coût du financement puis on rapport au total de l'actif</t>
  </si>
  <si>
    <t>Montant P du prêt</t>
  </si>
  <si>
    <t>Montant RWA/K en fonction du risque</t>
  </si>
  <si>
    <t>Ratio prudentiel (fonds propres/RWA)</t>
  </si>
  <si>
    <t>Fonds propres Mobilisés sans SF</t>
  </si>
  <si>
    <t>Objectif ROE</t>
  </si>
  <si>
    <t>Objectif PNB</t>
  </si>
  <si>
    <t>Valeur cible PNB/Fonds propres</t>
  </si>
  <si>
    <t>PNB en valeur absolu</t>
  </si>
  <si>
    <t>Coûts des frais généraux</t>
  </si>
  <si>
    <t>Coût du financement</t>
  </si>
  <si>
    <t>Taux de crédit à donner</t>
  </si>
  <si>
    <t>Supporting factor</t>
  </si>
  <si>
    <t>Fonds propres mobilisés avec SF</t>
  </si>
  <si>
    <t>Return attendu</t>
  </si>
  <si>
    <t>résultat avant impôt attendu</t>
  </si>
  <si>
    <t>PNB attendu</t>
  </si>
  <si>
    <t>Taux du crédit attendu post GSF</t>
  </si>
  <si>
    <t>Différence Rate - Rate SF</t>
  </si>
  <si>
    <t>Variation en proportion (Rate - Rate SF)/Rate</t>
  </si>
  <si>
    <t>Modélisation qui prend en compte les mêmes frais généraux que sans le supporting factor</t>
  </si>
  <si>
    <t>Taux du crédit attendu</t>
  </si>
  <si>
    <t>Les données de cette feuille sont extraites du rapport ACPR "la situation des grands groupes bancaires français fin 2019"</t>
  </si>
  <si>
    <t>ROE 2019</t>
  </si>
  <si>
    <t>Bénéfices/PNB</t>
  </si>
  <si>
    <t>Résultat avant impôt/PNB</t>
  </si>
  <si>
    <t>Taux d'imposition</t>
  </si>
  <si>
    <t>Ratio RWA/bilan</t>
  </si>
  <si>
    <t>Calcul du coût du financement d'un actif bancaire</t>
  </si>
  <si>
    <t>Source: Document d'enregistrement universel 2019 des banques citées</t>
  </si>
  <si>
    <t>Groupes bancaires</t>
  </si>
  <si>
    <t>CASA</t>
  </si>
  <si>
    <t>SOGé</t>
  </si>
  <si>
    <t>BPCE</t>
  </si>
  <si>
    <t>BNP</t>
  </si>
  <si>
    <t>LBP</t>
  </si>
  <si>
    <t>CM-CIC</t>
  </si>
  <si>
    <t>Total</t>
  </si>
  <si>
    <t>Intérêts produits</t>
  </si>
  <si>
    <t>Intérêts charges</t>
  </si>
  <si>
    <t>Marge d'intérêts</t>
  </si>
  <si>
    <t>Coût du financement rapporté à l'actif en 2019</t>
  </si>
  <si>
    <t>Calcul du coût du financement moyen pour un projet de montant 100</t>
  </si>
  <si>
    <t>On vérifie qu'au niveau agrégé le coût du financement des 6 groupes bancaires correspondent bien aux données observables (on a bien égalité entre le coût du financement et les intérêts des charges en K37)</t>
  </si>
  <si>
    <t>Calcul du ROE en utilisant les données financières des banques</t>
  </si>
  <si>
    <t>CIC</t>
  </si>
  <si>
    <t>CM</t>
  </si>
  <si>
    <t>Résultat 2019</t>
  </si>
  <si>
    <t>Résultat part du groupe</t>
  </si>
  <si>
    <t>Capitaux propres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</si>
</sst>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%"/>
    <numFmt numFmtId="166" formatCode="0.0000"/>
    <numFmt numFmtId="167" formatCode="0.0000%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02">
    <xf numFmtId="0" fontId="0" fillId="0" borderId="0" xfId="0"/>
    <xf numFmtId="10" fontId="0" fillId="0" borderId="0" xfId="0" applyNumberFormat="1"/>
    <xf numFmtId="0" fontId="1" fillId="0" borderId="1" xfId="0" applyFont="1" applyFill="1" applyBorder="1" applyAlignment="1">
      <alignment horizontal="center" wrapText="1"/>
    </xf>
    <xf numFmtId="0" fontId="1" fillId="0" borderId="1" xfId="0" applyFont="1" applyBorder="1"/>
    <xf numFmtId="9" fontId="1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1" xfId="0" applyFont="1" applyBorder="1"/>
    <xf numFmtId="165" fontId="1" fillId="0" borderId="1" xfId="0" applyNumberFormat="1" applyFont="1" applyBorder="1" applyAlignment="1">
      <alignment horizontal="center" wrapText="1"/>
    </xf>
    <xf numFmtId="0" fontId="0" fillId="0" borderId="6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0" fontId="0" fillId="0" borderId="6" xfId="1" applyNumberFormat="1" applyFont="1" applyFill="1" applyBorder="1"/>
    <xf numFmtId="2" fontId="0" fillId="0" borderId="6" xfId="0" applyNumberFormat="1" applyFill="1" applyBorder="1"/>
    <xf numFmtId="166" fontId="0" fillId="0" borderId="6" xfId="0" applyNumberFormat="1" applyFont="1" applyFill="1" applyBorder="1"/>
    <xf numFmtId="2" fontId="0" fillId="0" borderId="0" xfId="0" applyNumberFormat="1"/>
    <xf numFmtId="167" fontId="0" fillId="0" borderId="0" xfId="0" applyNumberFormat="1"/>
    <xf numFmtId="167" fontId="0" fillId="0" borderId="1" xfId="0" applyNumberFormat="1" applyBorder="1"/>
    <xf numFmtId="167" fontId="1" fillId="0" borderId="1" xfId="0" applyNumberFormat="1" applyFont="1" applyFill="1" applyBorder="1" applyAlignment="1">
      <alignment horizontal="center" wrapText="1"/>
    </xf>
    <xf numFmtId="0" fontId="0" fillId="0" borderId="0" xfId="0" applyFill="1" applyBorder="1"/>
    <xf numFmtId="2" fontId="0" fillId="0" borderId="1" xfId="0" applyNumberFormat="1" applyFont="1" applyBorder="1"/>
    <xf numFmtId="164" fontId="0" fillId="0" borderId="6" xfId="0" applyNumberFormat="1" applyFill="1" applyBorder="1"/>
    <xf numFmtId="3" fontId="0" fillId="0" borderId="1" xfId="0" applyNumberFormat="1" applyBorder="1"/>
    <xf numFmtId="0" fontId="0" fillId="0" borderId="0" xfId="0" applyFill="1"/>
    <xf numFmtId="10" fontId="3" fillId="0" borderId="0" xfId="0" applyNumberFormat="1" applyFont="1"/>
    <xf numFmtId="9" fontId="0" fillId="0" borderId="0" xfId="0" applyNumberFormat="1"/>
    <xf numFmtId="0" fontId="0" fillId="2" borderId="3" xfId="0" applyFill="1" applyBorder="1" applyAlignment="1">
      <alignment wrapText="1"/>
    </xf>
    <xf numFmtId="0" fontId="1" fillId="2" borderId="3" xfId="0" applyFont="1" applyFill="1" applyBorder="1" applyAlignment="1"/>
    <xf numFmtId="0" fontId="0" fillId="0" borderId="10" xfId="0" applyBorder="1" applyAlignment="1"/>
    <xf numFmtId="0" fontId="0" fillId="0" borderId="0" xfId="0" applyAlignment="1"/>
    <xf numFmtId="0" fontId="0" fillId="0" borderId="0" xfId="0" applyFill="1" applyBorder="1" applyAlignme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2" borderId="0" xfId="0" applyFill="1" applyBorder="1" applyAlignment="1">
      <alignment wrapText="1"/>
    </xf>
    <xf numFmtId="1" fontId="3" fillId="4" borderId="1" xfId="0" applyNumberFormat="1" applyFont="1" applyFill="1" applyBorder="1" applyAlignment="1">
      <alignment wrapText="1"/>
    </xf>
    <xf numFmtId="9" fontId="3" fillId="4" borderId="1" xfId="1" applyFont="1" applyFill="1" applyBorder="1" applyAlignment="1">
      <alignment wrapText="1"/>
    </xf>
    <xf numFmtId="9" fontId="0" fillId="0" borderId="1" xfId="0" applyNumberFormat="1" applyBorder="1"/>
    <xf numFmtId="2" fontId="4" fillId="0" borderId="1" xfId="0" applyNumberFormat="1" applyFont="1" applyBorder="1"/>
    <xf numFmtId="0" fontId="1" fillId="0" borderId="3" xfId="0" applyFont="1" applyFill="1" applyBorder="1" applyAlignment="1">
      <alignment horizontal="center" wrapText="1"/>
    </xf>
    <xf numFmtId="10" fontId="0" fillId="0" borderId="3" xfId="1" applyNumberFormat="1" applyFont="1" applyBorder="1"/>
    <xf numFmtId="165" fontId="0" fillId="0" borderId="0" xfId="1" applyNumberFormat="1" applyFont="1"/>
    <xf numFmtId="0" fontId="0" fillId="0" borderId="1" xfId="0" applyFill="1" applyBorder="1"/>
    <xf numFmtId="10" fontId="3" fillId="0" borderId="1" xfId="1" applyNumberFormat="1" applyFont="1" applyBorder="1"/>
    <xf numFmtId="10" fontId="1" fillId="0" borderId="1" xfId="1" applyNumberFormat="1" applyFont="1" applyBorder="1"/>
    <xf numFmtId="10" fontId="3" fillId="0" borderId="1" xfId="0" applyNumberFormat="1" applyFont="1" applyBorder="1"/>
    <xf numFmtId="165" fontId="1" fillId="0" borderId="1" xfId="1" applyNumberFormat="1" applyFont="1" applyBorder="1"/>
    <xf numFmtId="0" fontId="1" fillId="0" borderId="3" xfId="0" applyFont="1" applyBorder="1"/>
    <xf numFmtId="165" fontId="0" fillId="0" borderId="11" xfId="1" applyNumberFormat="1" applyFont="1" applyFill="1" applyBorder="1"/>
    <xf numFmtId="165" fontId="0" fillId="0" borderId="0" xfId="1" applyNumberFormat="1" applyFont="1" applyBorder="1"/>
    <xf numFmtId="10" fontId="1" fillId="0" borderId="1" xfId="0" applyNumberFormat="1" applyFont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 wrapText="1"/>
    </xf>
    <xf numFmtId="10" fontId="1" fillId="0" borderId="3" xfId="1" applyNumberFormat="1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5" fillId="0" borderId="0" xfId="2" applyAlignment="1">
      <alignment horizont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4" xfId="0" applyFill="1" applyBorder="1" applyAlignment="1">
      <alignment horizontal="center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 en</a:t>
            </a:r>
            <a:r>
              <a:rPr lang="fr-FR" baseline="0"/>
              <a:t> valeur absolue des taux des prêts bancaires en fonction des niveaux de GSF (en supposant un transfert des gains des banques à leurs clients)</a:t>
            </a:r>
            <a:endParaRPr lang="fr-FR"/>
          </a:p>
        </c:rich>
      </c:tx>
      <c:layout>
        <c:manualLayout>
          <c:xMode val="edge"/>
          <c:yMode val="edge"/>
          <c:x val="0.12230181891599215"/>
          <c:y val="3.4985422740524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GSF fort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calcul'!$T$17:$T$21</c:f>
              <c:numCache>
                <c:formatCode>0.00%</c:formatCode>
                <c:ptCount val="5"/>
                <c:pt idx="0">
                  <c:v>1.1054013157894733E-3</c:v>
                </c:pt>
                <c:pt idx="1">
                  <c:v>2.2108026315789432E-3</c:v>
                </c:pt>
                <c:pt idx="2">
                  <c:v>3.3162039473684235E-3</c:v>
                </c:pt>
                <c:pt idx="3">
                  <c:v>4.4216052631578934E-3</c:v>
                </c:pt>
                <c:pt idx="4">
                  <c:v>6.632407894736847E-3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CB-4A28-9B6A-02B1599BBDBF}"/>
            </c:ext>
          </c:extLst>
        </c:ser>
        <c:ser>
          <c:idx val="1"/>
          <c:order val="1"/>
          <c:tx>
            <c:v>GSF faible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calcul'!$C$37:$C$41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calcul'!$T$37:$T$41</c:f>
              <c:numCache>
                <c:formatCode>0.00%</c:formatCode>
                <c:ptCount val="5"/>
                <c:pt idx="0">
                  <c:v>3.3162039473684166E-4</c:v>
                </c:pt>
                <c:pt idx="1">
                  <c:v>6.6324078947368331E-4</c:v>
                </c:pt>
                <c:pt idx="2">
                  <c:v>9.9486118421052844E-4</c:v>
                </c:pt>
                <c:pt idx="3">
                  <c:v>1.3264815789473666E-3</c:v>
                </c:pt>
                <c:pt idx="4">
                  <c:v>1.9897223684210569E-3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ACB-4A28-9B6A-02B1599BBDBF}"/>
            </c:ext>
          </c:extLst>
        </c:ser>
        <c:ser>
          <c:idx val="2"/>
          <c:order val="2"/>
          <c:tx>
            <c:v>GSF modéré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calcul'!$C$37:$C$41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calcul'!$T$28:$T$32</c:f>
              <c:numCache>
                <c:formatCode>0.00%</c:formatCode>
                <c:ptCount val="5"/>
                <c:pt idx="0">
                  <c:v>5.5270065789473841E-4</c:v>
                </c:pt>
                <c:pt idx="1">
                  <c:v>1.1054013157894699E-3</c:v>
                </c:pt>
                <c:pt idx="2">
                  <c:v>1.6581019736842117E-3</c:v>
                </c:pt>
                <c:pt idx="3">
                  <c:v>2.2108026315789397E-3</c:v>
                </c:pt>
                <c:pt idx="4">
                  <c:v>3.3162039473684235E-3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ACB-4A28-9B6A-02B1599BBDBF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532877871"/>
        <c:axId val="532890351"/>
      </c:scatterChart>
      <c:valAx>
        <c:axId val="532877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Facteur de risque pondéré (RW) de la classe d'actifs (0,5 pour les actifs peu risqués dont immobilier, 1 pour crédits aux entreprises ou aux</a:t>
                </a:r>
                <a:r>
                  <a:rPr lang="fr-FR" baseline="0"/>
                  <a:t> ménages</a:t>
                </a:r>
                <a:r>
                  <a:rPr lang="fr-FR"/>
                  <a:t> sains, 1,5 pour crédits</a:t>
                </a:r>
                <a:r>
                  <a:rPr lang="fr-FR" baseline="0"/>
                  <a:t> aux entreprises ou ménages à risques)</a:t>
                </a:r>
                <a:endParaRPr lang="fr-F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90351"/>
        <c:crosses val="autoZero"/>
        <c:crossBetween val="midCat"/>
      </c:valAx>
      <c:valAx>
        <c:axId val="532890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Variation en points de pourcentage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877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Variation induite</a:t>
            </a:r>
            <a:r>
              <a:rPr lang="fr-FR" baseline="0"/>
              <a:t> par le GSF en proportion du coût du capital dans le coût total d'un projet</a:t>
            </a:r>
          </a:p>
        </c:rich>
      </c:tx>
      <c:layout>
        <c:manualLayout>
          <c:xMode val="edge"/>
          <c:yMode val="edge"/>
          <c:x val="0.16270822397200346"/>
          <c:y val="2.31481481481481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GSF fort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calcul'!$U$17:$U$21</c:f>
              <c:numCache>
                <c:formatCode>0.00%</c:formatCode>
                <c:ptCount val="5"/>
                <c:pt idx="0">
                  <c:v>6.1348554358040486E-2</c:v>
                </c:pt>
                <c:pt idx="1">
                  <c:v>8.2732425847669114E-2</c:v>
                </c:pt>
                <c:pt idx="2">
                  <c:v>9.3608609769649798E-2</c:v>
                </c:pt>
                <c:pt idx="3">
                  <c:v>0.10019450297385436</c:v>
                </c:pt>
                <c:pt idx="4">
                  <c:v>0.10777723909469157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C9-423A-B7B4-8FC5BC0CF8ED}"/>
            </c:ext>
          </c:extLst>
        </c:ser>
        <c:ser>
          <c:idx val="1"/>
          <c:order val="1"/>
          <c:tx>
            <c:v>GSF modéré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calcul'!$U$28:$U$32</c:f>
              <c:numCache>
                <c:formatCode>0.00%</c:formatCode>
                <c:ptCount val="5"/>
                <c:pt idx="0">
                  <c:v>3.067427717902034E-2</c:v>
                </c:pt>
                <c:pt idx="1">
                  <c:v>4.1366212923834488E-2</c:v>
                </c:pt>
                <c:pt idx="2">
                  <c:v>4.6804304884824899E-2</c:v>
                </c:pt>
                <c:pt idx="3">
                  <c:v>5.0097251486927029E-2</c:v>
                </c:pt>
                <c:pt idx="4">
                  <c:v>5.3888619547345785E-2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C9-423A-B7B4-8FC5BC0CF8ED}"/>
            </c:ext>
          </c:extLst>
        </c:ser>
        <c:ser>
          <c:idx val="2"/>
          <c:order val="2"/>
          <c:tx>
            <c:v>GSF faible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'Feuille de calcul'!$C$17:$C$21</c:f>
              <c:numCache>
                <c:formatCode>General</c:formatCode>
                <c:ptCount val="5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1.5</c:v>
                </c:pt>
              </c:numCache>
            </c:numRef>
          </c:xVal>
          <c:yVal>
            <c:numRef>
              <c:f>'Feuille de calcul'!$U$37:$U$41</c:f>
              <c:numCache>
                <c:formatCode>0.00%</c:formatCode>
                <c:ptCount val="5"/>
                <c:pt idx="0">
                  <c:v>1.8404566307412128E-2</c:v>
                </c:pt>
                <c:pt idx="1">
                  <c:v>2.4819727754300747E-2</c:v>
                </c:pt>
                <c:pt idx="2">
                  <c:v>2.8082582930894981E-2</c:v>
                </c:pt>
                <c:pt idx="3">
                  <c:v>3.0058350892156277E-2</c:v>
                </c:pt>
                <c:pt idx="4">
                  <c:v>3.2333171728407516E-2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C9-423A-B7B4-8FC5BC0CF8E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982768432"/>
        <c:axId val="982758864"/>
      </c:scatterChart>
      <c:valAx>
        <c:axId val="982768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Profil de risque RW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758864"/>
        <c:crosses val="autoZero"/>
        <c:crossBetween val="midCat"/>
      </c:valAx>
      <c:valAx>
        <c:axId val="98275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Variation du coût du capital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768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Figure 2:</a:t>
            </a:r>
            <a:r>
              <a:rPr lang="fr-FR" baseline="0"/>
              <a:t> des taux </a:t>
            </a:r>
            <a:r>
              <a:rPr lang="fr-FR"/>
              <a:t>en points de pourcentage entre le en fonction d'une variation du</a:t>
            </a:r>
            <a:r>
              <a:rPr lang="fr-FR" baseline="0"/>
              <a:t> niveau des capitaux propres en points de pourcentage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'Impact GSF-BPF sur crédits'!$I$49</c:f>
              <c:strCache>
                <c:ptCount val="1"/>
                <c:pt idx="0">
                  <c:v>Variation en points de pourcentage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1"/>
            <c:trendlineLbl>
              <c:layout>
                <c:manualLayout>
                  <c:x val="-9.4016337845409775E-4"/>
                  <c:y val="0.11970590426985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'Impact GSF-BPF sur crédits'!$J$48:$M$48</c:f>
              <c:numCache>
                <c:formatCode>General</c:formatCode>
                <c:ptCount val="4"/>
                <c:pt idx="0">
                  <c:v>5.25</c:v>
                </c:pt>
                <c:pt idx="1">
                  <c:v>2.625</c:v>
                </c:pt>
                <c:pt idx="2">
                  <c:v>1.575</c:v>
                </c:pt>
              </c:numCache>
            </c:numRef>
          </c:xVal>
          <c:yVal>
            <c:numRef>
              <c:f>'Impact GSF-BPF sur crédits'!$J$49:$M$49</c:f>
              <c:numCache>
                <c:formatCode>0.00</c:formatCode>
                <c:ptCount val="4"/>
                <c:pt idx="0">
                  <c:v>0.44216052631578934</c:v>
                </c:pt>
                <c:pt idx="1">
                  <c:v>0.22108026315789397</c:v>
                </c:pt>
                <c:pt idx="2">
                  <c:v>0.13264815789473666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8D-4AB2-94DA-3CD5B06729B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669542640"/>
        <c:axId val="669543056"/>
      </c:scatterChart>
      <c:valAx>
        <c:axId val="66954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Baisse du niveau des capitaux propres en points de pourcentage</a:t>
                </a:r>
              </a:p>
            </c:rich>
          </c:tx>
          <c:layout>
            <c:manualLayout>
              <c:xMode val="edge"/>
              <c:yMode val="edge"/>
              <c:x val="0.47695384951881015"/>
              <c:y val="0.869421114027413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9543056"/>
        <c:crosses val="autoZero"/>
        <c:crossBetween val="midCat"/>
      </c:valAx>
      <c:valAx>
        <c:axId val="6695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Baisse</a:t>
                </a:r>
                <a:r>
                  <a:rPr lang="fr-FR" baseline="0"/>
                  <a:t> en points de pourcentage</a:t>
                </a:r>
                <a:endParaRPr lang="fr-FR"/>
              </a:p>
            </c:rich>
          </c:tx>
          <c:layout>
            <c:manualLayout>
              <c:xMode val="edge"/>
              <c:yMode val="edge"/>
              <c:x val="3.0555555555555555E-2"/>
              <c:y val="0.190648148148148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9542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16</xdr:row>
      <xdr:rowOff>9525</xdr:rowOff>
    </xdr:from>
    <xdr:to>
      <xdr:col>7</xdr:col>
      <xdr:colOff>685800</xdr:colOff>
      <xdr:row>34</xdr:row>
      <xdr:rowOff>123825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6B53321-41C8-4B28-ADAF-B60C7EB8A3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57150</xdr:colOff>
      <xdr:row>16</xdr:row>
      <xdr:rowOff>47625</xdr:rowOff>
    </xdr:from>
    <xdr:to>
      <xdr:col>14</xdr:col>
      <xdr:colOff>57150</xdr:colOff>
      <xdr:row>35</xdr:row>
      <xdr:rowOff>123825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FA2EA5DD-1345-4635-BAB1-607AA645DF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371475</xdr:colOff>
      <xdr:row>35</xdr:row>
      <xdr:rowOff>38100</xdr:rowOff>
    </xdr:from>
    <xdr:to>
      <xdr:col>7</xdr:col>
      <xdr:colOff>142875</xdr:colOff>
      <xdr:row>51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37441DAD-EC10-418E-9380-32F38A1B8F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457200</xdr:colOff>
      <xdr:row>9</xdr:row>
      <xdr:rowOff>95251</xdr:rowOff>
    </xdr:from>
    <xdr:to>
      <xdr:col>17</xdr:col>
      <xdr:colOff>333537</xdr:colOff>
      <xdr:row>30</xdr:row>
      <xdr:rowOff>38101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E4E066B-CEE7-4CFE-8802-C6B6A41C0E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879" t="18558" r="26928" b="42771"/>
        <a:stretch/>
      </xdr:blipFill>
      <xdr:spPr>
        <a:xfrm>
          <a:off x="7019925" y="2000251"/>
          <a:ext cx="7648737" cy="3943350"/>
        </a:xfrm>
        <a:prstGeom prst="rect">
          <a:avLst/>
        </a:prstGeom>
      </xdr:spPr>
    </xdr:pic>
    <xdr:clientData/>
  </xdr:twoCellAnchor>
  <xdr:twoCellAnchor editAs="oneCell">
    <xdr:from>
      <xdr:col>0</xdr:col>
      <xdr:colOff>466725</xdr:colOff>
      <xdr:row>4</xdr:row>
      <xdr:rowOff>9525</xdr:rowOff>
    </xdr:from>
    <xdr:to>
      <xdr:col>7</xdr:col>
      <xdr:colOff>561975</xdr:colOff>
      <xdr:row>29</xdr:row>
      <xdr:rowOff>171450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C6BC97-278D-46DE-9B48-892D8911EA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2942" t="25225" r="28366" b="15100"/>
        <a:stretch/>
      </xdr:blipFill>
      <xdr:spPr>
        <a:xfrm>
          <a:off x="466725" y="771525"/>
          <a:ext cx="5895975" cy="511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cpr.banque-france.fr/la-situation-des-grands-groupes-bancaires-francais-fin-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58F2F-416A-46B7-A8B7-C5DB165DC45F}">
  <dimension ref="B3:Q49"/>
  <sheetViews>
    <sheetView tabSelected="1" topLeftCell="A8" workbookViewId="0">
      <selection activeCell="D10" sqref="D10:E10"/>
    </sheetView>
  </sheetViews>
  <sheetFormatPr defaultColWidth="11.42578125" defaultRowHeight="15"/>
  <cols>
    <col min="3" max="3" width="16.42578125" bestFit="1" customWidth="1"/>
    <col min="4" max="4" width="6.140625" bestFit="1" customWidth="1"/>
    <col min="13" max="13" width="13.85546875" bestFit="1" customWidth="1"/>
  </cols>
  <sheetData>
    <row r="3" spans="2:17" ht="26.25" customHeight="1">
      <c r="B3" s="84" t="s">
        <v>0</v>
      </c>
      <c r="C3" s="84"/>
      <c r="D3" s="84"/>
      <c r="E3" s="84"/>
      <c r="G3" s="78" t="s">
        <v>1</v>
      </c>
      <c r="H3" s="78"/>
      <c r="I3" s="78"/>
      <c r="J3" s="66"/>
      <c r="K3" s="67"/>
      <c r="L3" s="67"/>
      <c r="M3" s="67"/>
      <c r="N3" s="67"/>
      <c r="O3" s="67"/>
      <c r="P3" s="67"/>
      <c r="Q3" s="67"/>
    </row>
    <row r="4" spans="2:17" ht="15" customHeight="1">
      <c r="B4" s="86" t="s">
        <v>2</v>
      </c>
      <c r="C4" s="86"/>
      <c r="D4" s="78" t="s">
        <v>3</v>
      </c>
      <c r="E4" s="78"/>
      <c r="G4" s="65" t="s">
        <v>4</v>
      </c>
      <c r="H4" s="65"/>
      <c r="I4" s="65"/>
      <c r="J4" s="68" t="s">
        <v>5</v>
      </c>
      <c r="K4" s="69"/>
      <c r="L4" s="69"/>
      <c r="M4" s="70"/>
      <c r="N4" s="75" t="s">
        <v>6</v>
      </c>
      <c r="O4" s="75"/>
      <c r="P4" s="75" t="s">
        <v>7</v>
      </c>
      <c r="Q4" s="75"/>
    </row>
    <row r="5" spans="2:17" ht="15" customHeight="1">
      <c r="B5" s="82" t="s">
        <v>8</v>
      </c>
      <c r="C5" s="82"/>
      <c r="D5" s="39" cm="1">
        <f t="array" ref="D5">_xlfn.IFS(D$4="Eolien",E40,D$4="Réno",D40,D$4="Auto",F40,D$4="Libre",E5)</f>
        <v>10000</v>
      </c>
      <c r="E5" s="10">
        <v>10000</v>
      </c>
      <c r="G5" s="65"/>
      <c r="H5" s="65"/>
      <c r="I5" s="65"/>
      <c r="J5" s="71"/>
      <c r="K5" s="72"/>
      <c r="L5" s="72"/>
      <c r="M5" s="73"/>
      <c r="N5" s="75"/>
      <c r="O5" s="75"/>
      <c r="P5" s="75"/>
      <c r="Q5" s="75"/>
    </row>
    <row r="6" spans="2:17" ht="30">
      <c r="B6" s="82" t="s">
        <v>9</v>
      </c>
      <c r="C6" s="82"/>
      <c r="D6" s="40" cm="1">
        <f t="array" ref="D6">_xlfn.IFS(D$4="Eolien",E41,D$4="Réno",D41,D$4="Auto",F41,D$4="Libre",E6)</f>
        <v>0.1</v>
      </c>
      <c r="E6" s="41">
        <v>0.1</v>
      </c>
      <c r="G6" s="65"/>
      <c r="H6" s="65"/>
      <c r="I6" s="65"/>
      <c r="J6" s="36"/>
      <c r="K6" s="36"/>
      <c r="L6" s="37" t="s">
        <v>10</v>
      </c>
      <c r="M6" s="64" t="s">
        <v>11</v>
      </c>
      <c r="N6" s="75"/>
      <c r="O6" s="75"/>
      <c r="P6" s="75"/>
      <c r="Q6" s="75"/>
    </row>
    <row r="7" spans="2:17" ht="29.25" customHeight="1">
      <c r="B7" s="82" t="s">
        <v>12</v>
      </c>
      <c r="C7" s="82"/>
      <c r="D7" s="40" cm="1">
        <f t="array" ref="D7">_xlfn.IFS(D$4="Eolien",E42,D$4="Réno",D42,D$4="Auto",F42,D$4="Libre",E7)</f>
        <v>0.3</v>
      </c>
      <c r="E7" s="41">
        <v>0.3</v>
      </c>
      <c r="G7" s="76" t="s">
        <v>13</v>
      </c>
      <c r="H7" s="76"/>
      <c r="I7" s="77">
        <f>'Feuille de calcul'!$U$20</f>
        <v>0.10019450297385436</v>
      </c>
      <c r="J7" s="76" t="s">
        <v>13</v>
      </c>
      <c r="K7" s="76"/>
      <c r="L7" s="77">
        <f>D$7*D$6*I7</f>
        <v>3.0058350892156306E-3</v>
      </c>
      <c r="M7" s="74">
        <f>L7*$D$5</f>
        <v>30.058350892156305</v>
      </c>
      <c r="N7" s="75"/>
      <c r="O7" s="75"/>
      <c r="P7" s="75"/>
      <c r="Q7" s="75"/>
    </row>
    <row r="8" spans="2:17" ht="15" customHeight="1">
      <c r="B8" s="83" t="s">
        <v>14</v>
      </c>
      <c r="C8" s="83"/>
      <c r="D8" s="80">
        <v>0.5</v>
      </c>
      <c r="E8" s="80"/>
      <c r="G8" s="76"/>
      <c r="H8" s="76"/>
      <c r="I8" s="77"/>
      <c r="J8" s="76"/>
      <c r="K8" s="76"/>
      <c r="L8" s="77"/>
      <c r="M8" s="74"/>
      <c r="N8" s="75"/>
      <c r="O8" s="75"/>
      <c r="P8" s="75"/>
      <c r="Q8" s="75"/>
    </row>
    <row r="9" spans="2:17" ht="31.5" customHeight="1">
      <c r="B9" s="81" t="s">
        <v>15</v>
      </c>
      <c r="C9" s="81"/>
      <c r="D9" s="79">
        <f>1-D8</f>
        <v>0.5</v>
      </c>
      <c r="E9" s="79"/>
      <c r="G9" s="76" t="s">
        <v>16</v>
      </c>
      <c r="H9" s="76"/>
      <c r="I9" s="77">
        <f>'Feuille de calcul'!$U$31</f>
        <v>5.0097251486927029E-2</v>
      </c>
      <c r="J9" s="76" t="s">
        <v>16</v>
      </c>
      <c r="K9" s="76"/>
      <c r="L9" s="77">
        <f t="shared" ref="L9" si="0">D$7*D$6*I9</f>
        <v>1.5029175446078108E-3</v>
      </c>
      <c r="M9" s="74">
        <f t="shared" ref="M9" si="1">L9*$D$5</f>
        <v>15.029175446078108</v>
      </c>
      <c r="N9" s="75"/>
      <c r="O9" s="75"/>
      <c r="P9" s="75"/>
      <c r="Q9" s="75"/>
    </row>
    <row r="10" spans="2:17" ht="15" customHeight="1">
      <c r="B10" s="83" t="s">
        <v>17</v>
      </c>
      <c r="C10" s="83"/>
      <c r="D10" s="85">
        <v>0.75</v>
      </c>
      <c r="E10" s="85"/>
      <c r="G10" s="76"/>
      <c r="H10" s="76"/>
      <c r="I10" s="77"/>
      <c r="J10" s="76"/>
      <c r="K10" s="76"/>
      <c r="L10" s="77"/>
      <c r="M10" s="74"/>
      <c r="N10" s="75"/>
      <c r="O10" s="75"/>
      <c r="P10" s="75"/>
      <c r="Q10" s="75"/>
    </row>
    <row r="11" spans="2:17" ht="29.25" customHeight="1">
      <c r="B11" s="81" t="s">
        <v>15</v>
      </c>
      <c r="C11" s="81"/>
      <c r="D11" s="79">
        <f>1-D10</f>
        <v>0.25</v>
      </c>
      <c r="E11" s="79"/>
      <c r="G11" s="76" t="s">
        <v>18</v>
      </c>
      <c r="H11" s="76"/>
      <c r="I11" s="77">
        <f>'Feuille de calcul'!$U$40</f>
        <v>3.0058350892156277E-2</v>
      </c>
      <c r="J11" s="76" t="s">
        <v>18</v>
      </c>
      <c r="K11" s="76"/>
      <c r="L11" s="77">
        <f t="shared" ref="L11" si="2">D$7*D$6*I11</f>
        <v>9.0175052676468828E-4</v>
      </c>
      <c r="M11" s="74">
        <f t="shared" ref="M11" si="3">L11*$D$5</f>
        <v>9.0175052676468823</v>
      </c>
      <c r="N11" s="75"/>
      <c r="O11" s="75"/>
      <c r="P11" s="75"/>
      <c r="Q11" s="75"/>
    </row>
    <row r="12" spans="2:17" ht="15" customHeight="1">
      <c r="B12" s="83" t="s">
        <v>19</v>
      </c>
      <c r="C12" s="83"/>
      <c r="D12" s="85">
        <v>0.85</v>
      </c>
      <c r="E12" s="85"/>
      <c r="G12" s="76"/>
      <c r="H12" s="76"/>
      <c r="I12" s="77"/>
      <c r="J12" s="76"/>
      <c r="K12" s="76"/>
      <c r="L12" s="77"/>
      <c r="M12" s="74"/>
      <c r="N12" s="75"/>
      <c r="O12" s="75"/>
      <c r="P12" s="75"/>
      <c r="Q12" s="75"/>
    </row>
    <row r="13" spans="2:17" ht="30" customHeight="1">
      <c r="B13" s="81" t="s">
        <v>15</v>
      </c>
      <c r="C13" s="81"/>
      <c r="D13" s="79">
        <f>1-D12</f>
        <v>0.15000000000000002</v>
      </c>
      <c r="E13" s="79"/>
    </row>
    <row r="39" spans="3:12">
      <c r="C39" s="32" t="s">
        <v>2</v>
      </c>
      <c r="D39" s="31" t="s">
        <v>20</v>
      </c>
      <c r="E39" s="31" t="s">
        <v>21</v>
      </c>
      <c r="F39" s="31" t="s">
        <v>22</v>
      </c>
      <c r="G39" s="38" t="s">
        <v>3</v>
      </c>
    </row>
    <row r="40" spans="3:12">
      <c r="C40" s="33" t="s">
        <v>23</v>
      </c>
      <c r="D40">
        <v>80</v>
      </c>
      <c r="E40" s="20">
        <v>100000</v>
      </c>
      <c r="F40" s="20">
        <v>40</v>
      </c>
    </row>
    <row r="41" spans="3:12">
      <c r="C41" t="s">
        <v>24</v>
      </c>
      <c r="D41" s="1">
        <v>3.9E-2</v>
      </c>
      <c r="E41" s="20">
        <v>0.05</v>
      </c>
      <c r="F41" s="20">
        <v>0.04</v>
      </c>
      <c r="L41" s="29"/>
    </row>
    <row r="42" spans="3:12">
      <c r="C42" s="34" t="s">
        <v>25</v>
      </c>
      <c r="D42" s="30">
        <v>0.3</v>
      </c>
      <c r="E42" s="20">
        <v>0.5</v>
      </c>
      <c r="F42" s="20">
        <v>0.7</v>
      </c>
    </row>
    <row r="43" spans="3:12">
      <c r="C43" s="35" t="s">
        <v>3</v>
      </c>
    </row>
    <row r="48" spans="3:12">
      <c r="I48" t="s">
        <v>26</v>
      </c>
      <c r="J48">
        <f>50*0.105</f>
        <v>5.25</v>
      </c>
      <c r="K48">
        <f>0.105*25</f>
        <v>2.625</v>
      </c>
      <c r="L48">
        <f>0.105*15</f>
        <v>1.575</v>
      </c>
    </row>
    <row r="49" spans="9:12">
      <c r="I49" t="s">
        <v>27</v>
      </c>
      <c r="J49" s="20">
        <f>'Feuille de calcul'!T20*100</f>
        <v>0.44216052631578934</v>
      </c>
      <c r="K49" s="20">
        <f>'Feuille de calcul'!T31*100</f>
        <v>0.22108026315789397</v>
      </c>
      <c r="L49" s="20">
        <f>'Feuille de calcul'!T40*100</f>
        <v>0.13264815789473666</v>
      </c>
    </row>
  </sheetData>
  <mergeCells count="39">
    <mergeCell ref="B3:E3"/>
    <mergeCell ref="D9:E9"/>
    <mergeCell ref="D10:E10"/>
    <mergeCell ref="D11:E11"/>
    <mergeCell ref="D12:E12"/>
    <mergeCell ref="B5:C5"/>
    <mergeCell ref="B4:C4"/>
    <mergeCell ref="D4:E4"/>
    <mergeCell ref="D13:E13"/>
    <mergeCell ref="D8:E8"/>
    <mergeCell ref="B13:C13"/>
    <mergeCell ref="B7:C7"/>
    <mergeCell ref="B6:C6"/>
    <mergeCell ref="B8:C8"/>
    <mergeCell ref="B10:C10"/>
    <mergeCell ref="B12:C12"/>
    <mergeCell ref="B9:C9"/>
    <mergeCell ref="B11:C11"/>
    <mergeCell ref="G11:H12"/>
    <mergeCell ref="I7:I8"/>
    <mergeCell ref="I9:I10"/>
    <mergeCell ref="I11:I12"/>
    <mergeCell ref="G7:H8"/>
    <mergeCell ref="G4:I6"/>
    <mergeCell ref="J3:Q3"/>
    <mergeCell ref="J4:M5"/>
    <mergeCell ref="M7:M8"/>
    <mergeCell ref="N4:O12"/>
    <mergeCell ref="P4:Q12"/>
    <mergeCell ref="J9:K10"/>
    <mergeCell ref="L9:L10"/>
    <mergeCell ref="J11:K12"/>
    <mergeCell ref="L11:L12"/>
    <mergeCell ref="J7:K8"/>
    <mergeCell ref="L7:L8"/>
    <mergeCell ref="M9:M10"/>
    <mergeCell ref="M11:M12"/>
    <mergeCell ref="G3:I3"/>
    <mergeCell ref="G9:H10"/>
  </mergeCells>
  <dataValidations disablePrompts="1" count="1">
    <dataValidation type="list" allowBlank="1" showInputMessage="1" showErrorMessage="1" sqref="D4:E4" xr:uid="{26839865-7734-4AB1-A30A-8361C772E0F5}">
      <formula1>$D$39:$G$39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25779-9E49-4E65-AF3F-C3CEA59B7053}">
  <dimension ref="A2:U52"/>
  <sheetViews>
    <sheetView topLeftCell="B1" zoomScaleNormal="100" workbookViewId="0">
      <selection activeCell="M55" sqref="M55"/>
    </sheetView>
  </sheetViews>
  <sheetFormatPr defaultColWidth="11.42578125" defaultRowHeight="15"/>
  <cols>
    <col min="3" max="3" width="11.42578125" customWidth="1"/>
    <col min="5" max="5" width="17.140625" customWidth="1"/>
    <col min="6" max="6" width="8" customWidth="1"/>
    <col min="7" max="7" width="8.140625" bestFit="1" customWidth="1"/>
    <col min="8" max="8" width="10.85546875" bestFit="1" customWidth="1"/>
    <col min="9" max="9" width="7.42578125" bestFit="1" customWidth="1"/>
    <col min="10" max="10" width="12" bestFit="1" customWidth="1"/>
    <col min="11" max="11" width="27.28515625" bestFit="1" customWidth="1"/>
    <col min="14" max="14" width="9.5703125" bestFit="1" customWidth="1"/>
    <col min="15" max="15" width="13" bestFit="1" customWidth="1"/>
    <col min="16" max="16" width="12" bestFit="1" customWidth="1"/>
    <col min="17" max="17" width="12.28515625" bestFit="1" customWidth="1"/>
    <col min="18" max="18" width="19" bestFit="1" customWidth="1"/>
    <col min="19" max="19" width="20" customWidth="1"/>
  </cols>
  <sheetData>
    <row r="2" spans="2:21">
      <c r="B2" s="3" t="s">
        <v>28</v>
      </c>
      <c r="C2" s="10"/>
    </row>
    <row r="3" spans="2:21">
      <c r="B3" s="92" t="s">
        <v>29</v>
      </c>
      <c r="C3" s="93"/>
    </row>
    <row r="4" spans="2:21">
      <c r="B4" s="94">
        <v>6.3E-2</v>
      </c>
      <c r="C4" s="95"/>
    </row>
    <row r="5" spans="2:21">
      <c r="B5" s="92" t="s">
        <v>30</v>
      </c>
      <c r="C5" s="93"/>
    </row>
    <row r="6" spans="2:21">
      <c r="B6" s="90">
        <v>0.19</v>
      </c>
      <c r="C6" s="91"/>
    </row>
    <row r="7" spans="2:21">
      <c r="B7" s="92" t="s">
        <v>31</v>
      </c>
      <c r="C7" s="93"/>
      <c r="D7" s="89" t="s">
        <v>32</v>
      </c>
    </row>
    <row r="8" spans="2:21">
      <c r="B8" s="90">
        <v>0.254</v>
      </c>
      <c r="C8" s="91"/>
      <c r="D8" s="89"/>
    </row>
    <row r="9" spans="2:21">
      <c r="B9" s="92" t="s">
        <v>33</v>
      </c>
      <c r="C9" s="93"/>
      <c r="D9" s="89"/>
    </row>
    <row r="10" spans="2:21">
      <c r="B10" s="90">
        <f>1-B8</f>
        <v>0.746</v>
      </c>
      <c r="C10" s="91"/>
      <c r="D10" s="89"/>
    </row>
    <row r="14" spans="2:21" ht="15" customHeight="1"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</row>
    <row r="15" spans="2:21" ht="63.75" customHeight="1">
      <c r="B15" s="10"/>
      <c r="C15" s="10"/>
      <c r="D15" s="88" t="s">
        <v>34</v>
      </c>
      <c r="E15" s="88"/>
      <c r="F15" s="8" t="s">
        <v>35</v>
      </c>
      <c r="G15" s="8" t="s">
        <v>35</v>
      </c>
      <c r="H15" s="10"/>
      <c r="I15" s="10"/>
      <c r="J15" s="8" t="s">
        <v>35</v>
      </c>
      <c r="K15" s="8" t="s">
        <v>36</v>
      </c>
      <c r="L15" s="10"/>
      <c r="M15" s="8" t="s">
        <v>37</v>
      </c>
      <c r="N15" s="10"/>
      <c r="O15" s="8" t="s">
        <v>38</v>
      </c>
      <c r="P15" s="8" t="s">
        <v>35</v>
      </c>
      <c r="Q15" s="8" t="s">
        <v>39</v>
      </c>
      <c r="R15" s="8" t="s">
        <v>40</v>
      </c>
      <c r="S15" s="8" t="s">
        <v>41</v>
      </c>
      <c r="T15" s="22"/>
      <c r="U15" s="10"/>
    </row>
    <row r="16" spans="2:21" ht="75">
      <c r="B16" s="63" t="s">
        <v>42</v>
      </c>
      <c r="C16" s="7" t="s">
        <v>43</v>
      </c>
      <c r="D16" s="63" t="s">
        <v>44</v>
      </c>
      <c r="E16" s="63" t="s">
        <v>45</v>
      </c>
      <c r="F16" s="59" t="s">
        <v>46</v>
      </c>
      <c r="G16" s="59" t="s">
        <v>47</v>
      </c>
      <c r="H16" s="59" t="s">
        <v>48</v>
      </c>
      <c r="I16" s="2" t="s">
        <v>49</v>
      </c>
      <c r="J16" s="2" t="s">
        <v>50</v>
      </c>
      <c r="K16" s="15" t="s">
        <v>51</v>
      </c>
      <c r="L16" s="2" t="s">
        <v>52</v>
      </c>
      <c r="M16" s="2" t="s">
        <v>53</v>
      </c>
      <c r="N16" s="2" t="s">
        <v>54</v>
      </c>
      <c r="O16" s="2" t="s">
        <v>55</v>
      </c>
      <c r="P16" s="2" t="s">
        <v>56</v>
      </c>
      <c r="Q16" s="15" t="s">
        <v>51</v>
      </c>
      <c r="R16" s="2" t="s">
        <v>57</v>
      </c>
      <c r="S16" s="2" t="s">
        <v>58</v>
      </c>
      <c r="T16" s="23" t="s">
        <v>59</v>
      </c>
      <c r="U16" s="23" t="s">
        <v>60</v>
      </c>
    </row>
    <row r="17" spans="1:21">
      <c r="B17" s="63">
        <v>100</v>
      </c>
      <c r="C17" s="7">
        <v>0.25</v>
      </c>
      <c r="D17" s="63">
        <v>0.105</v>
      </c>
      <c r="E17" s="63">
        <f>D17*C17*B17</f>
        <v>2.625</v>
      </c>
      <c r="F17" s="13">
        <f>B$4</f>
        <v>6.3E-2</v>
      </c>
      <c r="G17" s="13">
        <f>F17/$B$6</f>
        <v>0.33157894736842103</v>
      </c>
      <c r="H17" s="4">
        <f>1+G17</f>
        <v>1.331578947368421</v>
      </c>
      <c r="I17" s="11">
        <f>G17*E17</f>
        <v>0.87039473684210522</v>
      </c>
      <c r="J17" s="12">
        <f>I17*$B$10</f>
        <v>0.64931447368421047</v>
      </c>
      <c r="K17" s="25">
        <f>(B17)*'Annexe-ACPR'!$K$40</f>
        <v>0.93144285714285702</v>
      </c>
      <c r="L17" s="48">
        <f>(I17+K17)/B17</f>
        <v>1.8018375939849621E-2</v>
      </c>
      <c r="M17" s="10">
        <f>'Impact GSF-BPF sur crédits'!$D$8</f>
        <v>0.5</v>
      </c>
      <c r="N17" s="10">
        <f>M17*E17</f>
        <v>1.3125</v>
      </c>
      <c r="O17" s="10">
        <f>N17*F17</f>
        <v>8.2687499999999997E-2</v>
      </c>
      <c r="P17" s="10">
        <f>O17*($B$8/$B$6)</f>
        <v>0.11054013157894736</v>
      </c>
      <c r="Q17" s="11">
        <f>(B17)*'Annexe-ACPR'!$K$40</f>
        <v>0.93144285714285702</v>
      </c>
      <c r="R17" s="10">
        <f>P17+J17</f>
        <v>0.75985460526315785</v>
      </c>
      <c r="S17" s="48">
        <f>(R17+Q17)/B17</f>
        <v>1.6912974624060148E-2</v>
      </c>
      <c r="T17" s="49">
        <f>L17-S17</f>
        <v>1.1054013157894733E-3</v>
      </c>
      <c r="U17" s="49">
        <f>T17/L17</f>
        <v>6.1348554358040486E-2</v>
      </c>
    </row>
    <row r="18" spans="1:21">
      <c r="B18" s="63">
        <v>100</v>
      </c>
      <c r="C18" s="60">
        <v>0.5</v>
      </c>
      <c r="D18" s="63">
        <v>0.105</v>
      </c>
      <c r="E18" s="63">
        <f t="shared" ref="E18:E21" si="0">D18*C18*B18</f>
        <v>5.25</v>
      </c>
      <c r="F18" s="13">
        <f>B$4</f>
        <v>6.3E-2</v>
      </c>
      <c r="G18" s="13">
        <f>F18/$B$6</f>
        <v>0.33157894736842103</v>
      </c>
      <c r="H18" s="4">
        <f>1+G18</f>
        <v>1.331578947368421</v>
      </c>
      <c r="I18" s="11">
        <f t="shared" ref="I18:I21" si="1">G18*E18</f>
        <v>1.7407894736842104</v>
      </c>
      <c r="J18" s="12">
        <f>I18*$B$10</f>
        <v>1.2986289473684209</v>
      </c>
      <c r="K18" s="25">
        <f>(B18)*'Annexe-ACPR'!$K$40</f>
        <v>0.93144285714285702</v>
      </c>
      <c r="L18" s="48">
        <f t="shared" ref="L18:L21" si="2">(I18+K18)/B18</f>
        <v>2.6722323308270672E-2</v>
      </c>
      <c r="M18" s="10">
        <f>'Impact GSF-BPF sur crédits'!$D$8</f>
        <v>0.5</v>
      </c>
      <c r="N18" s="10">
        <f>M18*E18</f>
        <v>2.625</v>
      </c>
      <c r="O18" s="10">
        <f t="shared" ref="O18:O21" si="3">N18*F18</f>
        <v>0.16537499999999999</v>
      </c>
      <c r="P18" s="10">
        <f>O18*($B$8/$B$6)</f>
        <v>0.22108026315789472</v>
      </c>
      <c r="Q18" s="11">
        <f>(B18)*'Annexe-ACPR'!$K$40</f>
        <v>0.93144285714285702</v>
      </c>
      <c r="R18" s="10">
        <f t="shared" ref="R18:R21" si="4">P18+J18</f>
        <v>1.5197092105263157</v>
      </c>
      <c r="S18" s="48">
        <f t="shared" ref="S18:S21" si="5">(R18+Q18)/B18</f>
        <v>2.4511520676691729E-2</v>
      </c>
      <c r="T18" s="49">
        <f t="shared" ref="T18:T21" si="6">L18-S18</f>
        <v>2.2108026315789432E-3</v>
      </c>
      <c r="U18" s="49">
        <f t="shared" ref="U18:U21" si="7">T18/L18</f>
        <v>8.2732425847669114E-2</v>
      </c>
    </row>
    <row r="19" spans="1:21">
      <c r="B19" s="63">
        <v>100</v>
      </c>
      <c r="C19" s="7">
        <v>0.75</v>
      </c>
      <c r="D19" s="63">
        <v>0.105</v>
      </c>
      <c r="E19" s="63">
        <f t="shared" ref="E19" si="8">D19*C19*B19</f>
        <v>7.875</v>
      </c>
      <c r="F19" s="13">
        <f>B$4</f>
        <v>6.3E-2</v>
      </c>
      <c r="G19" s="13">
        <f>F19/$B$6</f>
        <v>0.33157894736842103</v>
      </c>
      <c r="H19" s="4">
        <f>1+G19</f>
        <v>1.331578947368421</v>
      </c>
      <c r="I19" s="11">
        <f t="shared" ref="I19" si="9">G19*E19</f>
        <v>2.6111842105263157</v>
      </c>
      <c r="J19" s="12">
        <f>I19*$B$10</f>
        <v>1.9479434210526314</v>
      </c>
      <c r="K19" s="25">
        <f>(B19)*'Annexe-ACPR'!$K$40</f>
        <v>0.93144285714285702</v>
      </c>
      <c r="L19" s="48">
        <f t="shared" ref="L19" si="10">(I19+K19)/B19</f>
        <v>3.5426270676691726E-2</v>
      </c>
      <c r="M19" s="10">
        <f>'Impact GSF-BPF sur crédits'!$D$8</f>
        <v>0.5</v>
      </c>
      <c r="N19" s="10">
        <f>M19*E19</f>
        <v>3.9375</v>
      </c>
      <c r="O19" s="10">
        <f t="shared" ref="O19" si="11">N19*F19</f>
        <v>0.24806249999999999</v>
      </c>
      <c r="P19" s="10">
        <f>O19*($B$8/$B$6)</f>
        <v>0.33162039473684207</v>
      </c>
      <c r="Q19" s="11">
        <f>(B19)*'Annexe-ACPR'!$K$40</f>
        <v>0.93144285714285702</v>
      </c>
      <c r="R19" s="10">
        <f t="shared" ref="R19" si="12">P19+J19</f>
        <v>2.2795638157894733</v>
      </c>
      <c r="S19" s="48">
        <f t="shared" ref="S19" si="13">(R19+Q19)/B19</f>
        <v>3.2110066729323303E-2</v>
      </c>
      <c r="T19" s="49">
        <f t="shared" ref="T19" si="14">L19-S19</f>
        <v>3.3162039473684235E-3</v>
      </c>
      <c r="U19" s="49">
        <f t="shared" ref="U19" si="15">T19/L19</f>
        <v>9.3608609769649798E-2</v>
      </c>
    </row>
    <row r="20" spans="1:21">
      <c r="B20" s="63">
        <v>100</v>
      </c>
      <c r="C20" s="60">
        <v>1</v>
      </c>
      <c r="D20" s="63">
        <v>0.105</v>
      </c>
      <c r="E20" s="63">
        <f t="shared" si="0"/>
        <v>10.5</v>
      </c>
      <c r="F20" s="13">
        <f>B$4</f>
        <v>6.3E-2</v>
      </c>
      <c r="G20" s="13">
        <f>F20/$B$6</f>
        <v>0.33157894736842103</v>
      </c>
      <c r="H20" s="4">
        <f>1+G20</f>
        <v>1.331578947368421</v>
      </c>
      <c r="I20" s="11">
        <f t="shared" si="1"/>
        <v>3.4815789473684209</v>
      </c>
      <c r="J20" s="12">
        <f>I20*$B$10</f>
        <v>2.5972578947368419</v>
      </c>
      <c r="K20" s="25">
        <f>(B20)*'Annexe-ACPR'!$K$40</f>
        <v>0.93144285714285702</v>
      </c>
      <c r="L20" s="48">
        <f t="shared" si="2"/>
        <v>4.4130218045112773E-2</v>
      </c>
      <c r="M20" s="10">
        <f>'Impact GSF-BPF sur crédits'!$D$8</f>
        <v>0.5</v>
      </c>
      <c r="N20" s="10">
        <f>M20*E20</f>
        <v>5.25</v>
      </c>
      <c r="O20" s="10">
        <f t="shared" si="3"/>
        <v>0.33074999999999999</v>
      </c>
      <c r="P20" s="10">
        <f>O20*($B$8/$B$6)</f>
        <v>0.44216052631578945</v>
      </c>
      <c r="Q20" s="11">
        <f>(B20)*'Annexe-ACPR'!$K$40</f>
        <v>0.93144285714285702</v>
      </c>
      <c r="R20" s="10">
        <f t="shared" si="4"/>
        <v>3.0394184210526314</v>
      </c>
      <c r="S20" s="48">
        <f t="shared" si="5"/>
        <v>3.970861278195488E-2</v>
      </c>
      <c r="T20" s="49">
        <f t="shared" si="6"/>
        <v>4.4216052631578934E-3</v>
      </c>
      <c r="U20" s="49">
        <f t="shared" si="7"/>
        <v>0.10019450297385436</v>
      </c>
    </row>
    <row r="21" spans="1:21">
      <c r="B21" s="63">
        <v>100</v>
      </c>
      <c r="C21" s="60">
        <v>1.5</v>
      </c>
      <c r="D21" s="63">
        <v>0.105</v>
      </c>
      <c r="E21" s="63">
        <f t="shared" si="0"/>
        <v>15.75</v>
      </c>
      <c r="F21" s="13">
        <f>B$4</f>
        <v>6.3E-2</v>
      </c>
      <c r="G21" s="13">
        <f>F21/$B$6</f>
        <v>0.33157894736842103</v>
      </c>
      <c r="H21" s="4">
        <f>1+G21</f>
        <v>1.331578947368421</v>
      </c>
      <c r="I21" s="11">
        <f t="shared" si="1"/>
        <v>5.2223684210526313</v>
      </c>
      <c r="J21" s="12">
        <f>I21*$B$10</f>
        <v>3.8958868421052628</v>
      </c>
      <c r="K21" s="25">
        <f>(B21)*'Annexe-ACPR'!$K$40</f>
        <v>0.93144285714285702</v>
      </c>
      <c r="L21" s="48">
        <f t="shared" si="2"/>
        <v>6.1538112781954882E-2</v>
      </c>
      <c r="M21" s="10">
        <f>'Impact GSF-BPF sur crédits'!$D$8</f>
        <v>0.5</v>
      </c>
      <c r="N21" s="10">
        <f>M21*E21</f>
        <v>7.875</v>
      </c>
      <c r="O21" s="10">
        <f t="shared" si="3"/>
        <v>0.49612499999999998</v>
      </c>
      <c r="P21" s="10">
        <f>O21*($B$8/$B$6)</f>
        <v>0.66324078947368414</v>
      </c>
      <c r="Q21" s="11">
        <f>(B21)*'Annexe-ACPR'!$K$40</f>
        <v>0.93144285714285702</v>
      </c>
      <c r="R21" s="10">
        <f t="shared" si="4"/>
        <v>4.5591276315789466</v>
      </c>
      <c r="S21" s="48">
        <f t="shared" si="5"/>
        <v>5.4905704887218035E-2</v>
      </c>
      <c r="T21" s="49">
        <f t="shared" si="6"/>
        <v>6.632407894736847E-3</v>
      </c>
      <c r="U21" s="49">
        <f t="shared" si="7"/>
        <v>0.10777723909469157</v>
      </c>
    </row>
    <row r="22" spans="1:21">
      <c r="I22" s="26"/>
      <c r="J22" s="19"/>
      <c r="K22" s="25"/>
      <c r="L22" s="17"/>
      <c r="N22" s="20"/>
      <c r="O22" s="14"/>
      <c r="P22" s="14"/>
      <c r="Q22" s="18"/>
      <c r="R22" s="14"/>
      <c r="S22" s="17"/>
      <c r="T22" s="21"/>
    </row>
    <row r="23" spans="1:21">
      <c r="O23" s="14"/>
      <c r="P23" s="14"/>
      <c r="T23" s="21"/>
    </row>
    <row r="24" spans="1:21">
      <c r="A24" s="28"/>
      <c r="P24" s="14"/>
      <c r="Q24" s="24"/>
    </row>
    <row r="25" spans="1:21">
      <c r="A25" s="28"/>
      <c r="B25" s="87" t="s">
        <v>61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</row>
    <row r="26" spans="1:21" ht="56.25" hidden="1" customHeight="1">
      <c r="A26" s="28"/>
      <c r="B26" s="10"/>
      <c r="C26" s="10"/>
      <c r="D26" s="88" t="s">
        <v>34</v>
      </c>
      <c r="E26" s="88"/>
      <c r="F26" s="8" t="s">
        <v>35</v>
      </c>
      <c r="G26" s="8" t="s">
        <v>35</v>
      </c>
      <c r="H26" s="10"/>
      <c r="I26" s="10"/>
      <c r="J26" s="8" t="s">
        <v>35</v>
      </c>
      <c r="K26" s="8" t="s">
        <v>36</v>
      </c>
      <c r="L26" s="10"/>
      <c r="M26" s="8" t="s">
        <v>37</v>
      </c>
      <c r="N26" s="10"/>
      <c r="O26" s="8" t="s">
        <v>38</v>
      </c>
      <c r="P26" s="8" t="s">
        <v>35</v>
      </c>
      <c r="Q26" s="8" t="s">
        <v>39</v>
      </c>
      <c r="R26" s="8" t="s">
        <v>40</v>
      </c>
      <c r="S26" s="8" t="s">
        <v>41</v>
      </c>
      <c r="T26" s="22"/>
      <c r="U26" s="10"/>
    </row>
    <row r="27" spans="1:21" ht="75">
      <c r="A27" s="28"/>
      <c r="B27" s="63" t="s">
        <v>42</v>
      </c>
      <c r="C27" s="7" t="s">
        <v>43</v>
      </c>
      <c r="D27" s="63" t="s">
        <v>44</v>
      </c>
      <c r="E27" s="63" t="s">
        <v>45</v>
      </c>
      <c r="F27" s="59" t="s">
        <v>46</v>
      </c>
      <c r="G27" s="59" t="s">
        <v>47</v>
      </c>
      <c r="H27" s="59" t="s">
        <v>48</v>
      </c>
      <c r="I27" s="2" t="s">
        <v>49</v>
      </c>
      <c r="J27" s="2" t="s">
        <v>50</v>
      </c>
      <c r="K27" s="15" t="s">
        <v>51</v>
      </c>
      <c r="L27" s="2" t="s">
        <v>52</v>
      </c>
      <c r="M27" s="2" t="s">
        <v>53</v>
      </c>
      <c r="N27" s="2" t="s">
        <v>54</v>
      </c>
      <c r="O27" s="2" t="s">
        <v>55</v>
      </c>
      <c r="P27" s="2" t="s">
        <v>56</v>
      </c>
      <c r="Q27" s="15" t="s">
        <v>51</v>
      </c>
      <c r="R27" s="2" t="s">
        <v>57</v>
      </c>
      <c r="S27" s="2" t="s">
        <v>62</v>
      </c>
      <c r="T27" s="23" t="s">
        <v>59</v>
      </c>
      <c r="U27" s="23" t="s">
        <v>60</v>
      </c>
    </row>
    <row r="28" spans="1:21">
      <c r="A28" s="28"/>
      <c r="B28" s="63">
        <v>100</v>
      </c>
      <c r="C28" s="7">
        <v>0.25</v>
      </c>
      <c r="D28" s="63">
        <v>0.105</v>
      </c>
      <c r="E28" s="63">
        <f>D28*C28*B28</f>
        <v>2.625</v>
      </c>
      <c r="F28" s="13">
        <f>B$4</f>
        <v>6.3E-2</v>
      </c>
      <c r="G28" s="13">
        <f>F28/$B$6</f>
        <v>0.33157894736842103</v>
      </c>
      <c r="H28" s="4">
        <f>1+G28</f>
        <v>1.331578947368421</v>
      </c>
      <c r="I28" s="11">
        <f>G28*E28</f>
        <v>0.87039473684210522</v>
      </c>
      <c r="J28" s="12">
        <f>I28*$B$10</f>
        <v>0.64931447368421047</v>
      </c>
      <c r="K28" s="25">
        <f>(B28)*'Annexe-ACPR'!$K$40</f>
        <v>0.93144285714285702</v>
      </c>
      <c r="L28" s="48">
        <f>(I28+K28)/B28</f>
        <v>1.8018375939849621E-2</v>
      </c>
      <c r="M28" s="10">
        <f>'Impact GSF-BPF sur crédits'!$D$10</f>
        <v>0.75</v>
      </c>
      <c r="N28" s="10">
        <f>M28*E28</f>
        <v>1.96875</v>
      </c>
      <c r="O28" s="10">
        <f>N28*F28</f>
        <v>0.12403125</v>
      </c>
      <c r="P28" s="10">
        <f>O28*($B$8/$B$6)</f>
        <v>0.16581019736842104</v>
      </c>
      <c r="Q28" s="11">
        <f>(B28)*'Annexe-ACPR'!$K$40</f>
        <v>0.93144285714285702</v>
      </c>
      <c r="R28" s="10">
        <f>P28+J28</f>
        <v>0.81512467105263153</v>
      </c>
      <c r="S28" s="48">
        <f>(R28+Q28)/B28</f>
        <v>1.7465675281954883E-2</v>
      </c>
      <c r="T28" s="49">
        <f>L28-S28</f>
        <v>5.5270065789473841E-4</v>
      </c>
      <c r="U28" s="29">
        <f>T28/L28</f>
        <v>3.067427717902034E-2</v>
      </c>
    </row>
    <row r="29" spans="1:21">
      <c r="A29" s="28"/>
      <c r="B29" s="63">
        <v>100</v>
      </c>
      <c r="C29" s="60">
        <v>0.5</v>
      </c>
      <c r="D29" s="63">
        <v>0.105</v>
      </c>
      <c r="E29" s="63">
        <f t="shared" ref="E29:E32" si="16">D29*C29*B29</f>
        <v>5.25</v>
      </c>
      <c r="F29" s="13">
        <f>B$4</f>
        <v>6.3E-2</v>
      </c>
      <c r="G29" s="13">
        <f>F29/$B$6</f>
        <v>0.33157894736842103</v>
      </c>
      <c r="H29" s="4">
        <f>1+G29</f>
        <v>1.331578947368421</v>
      </c>
      <c r="I29" s="11">
        <f t="shared" ref="I29:I32" si="17">G29*E29</f>
        <v>1.7407894736842104</v>
      </c>
      <c r="J29" s="12">
        <f>I29*$B$10</f>
        <v>1.2986289473684209</v>
      </c>
      <c r="K29" s="25">
        <f>(B29)*'Annexe-ACPR'!$K$40</f>
        <v>0.93144285714285702</v>
      </c>
      <c r="L29" s="48">
        <f>(I29+K29)/B29</f>
        <v>2.6722323308270672E-2</v>
      </c>
      <c r="M29" s="10">
        <f>'Impact GSF-BPF sur crédits'!$D$10</f>
        <v>0.75</v>
      </c>
      <c r="N29" s="10">
        <f>M29*E29</f>
        <v>3.9375</v>
      </c>
      <c r="O29" s="10">
        <f t="shared" ref="O29:O32" si="18">N29*F29</f>
        <v>0.24806249999999999</v>
      </c>
      <c r="P29" s="10">
        <f>O29*($B$8/$B$6)</f>
        <v>0.33162039473684207</v>
      </c>
      <c r="Q29" s="11">
        <f>(B29)*'Annexe-ACPR'!$K$40</f>
        <v>0.93144285714285702</v>
      </c>
      <c r="R29" s="10">
        <f t="shared" ref="R29:R32" si="19">P29+J29</f>
        <v>1.6302493421052631</v>
      </c>
      <c r="S29" s="48">
        <f>(R29+Q29)/B29</f>
        <v>2.5616921992481202E-2</v>
      </c>
      <c r="T29" s="49">
        <f t="shared" ref="T29:T32" si="20">L29-S29</f>
        <v>1.1054013157894699E-3</v>
      </c>
      <c r="U29" s="29">
        <f t="shared" ref="U29:U32" si="21">T29/L29</f>
        <v>4.1366212923834488E-2</v>
      </c>
    </row>
    <row r="30" spans="1:21">
      <c r="B30" s="63">
        <v>100</v>
      </c>
      <c r="C30" s="7">
        <v>0.75</v>
      </c>
      <c r="D30" s="63">
        <v>0.105</v>
      </c>
      <c r="E30" s="63">
        <f t="shared" si="16"/>
        <v>7.875</v>
      </c>
      <c r="F30" s="13">
        <f>B$4</f>
        <v>6.3E-2</v>
      </c>
      <c r="G30" s="13">
        <f>F30/$B$6</f>
        <v>0.33157894736842103</v>
      </c>
      <c r="H30" s="4">
        <f>1+G30</f>
        <v>1.331578947368421</v>
      </c>
      <c r="I30" s="11">
        <f t="shared" si="17"/>
        <v>2.6111842105263157</v>
      </c>
      <c r="J30" s="12">
        <f>I30*$B$10</f>
        <v>1.9479434210526314</v>
      </c>
      <c r="K30" s="25">
        <f>(B30)*'Annexe-ACPR'!$K$40</f>
        <v>0.93144285714285702</v>
      </c>
      <c r="L30" s="48">
        <f>(I30+K30)/B30</f>
        <v>3.5426270676691726E-2</v>
      </c>
      <c r="M30" s="10">
        <f>'Impact GSF-BPF sur crédits'!$D$10</f>
        <v>0.75</v>
      </c>
      <c r="N30" s="10">
        <f>M30*E30</f>
        <v>5.90625</v>
      </c>
      <c r="O30" s="10">
        <f t="shared" si="18"/>
        <v>0.37209375</v>
      </c>
      <c r="P30" s="10">
        <f>O30*($B$8/$B$6)</f>
        <v>0.49743059210526314</v>
      </c>
      <c r="Q30" s="11">
        <f>(B30)*'Annexe-ACPR'!$K$40</f>
        <v>0.93144285714285702</v>
      </c>
      <c r="R30" s="10">
        <f t="shared" si="19"/>
        <v>2.4453740131578945</v>
      </c>
      <c r="S30" s="48">
        <f>(R30+Q30)/B30</f>
        <v>3.3768168703007514E-2</v>
      </c>
      <c r="T30" s="49">
        <f t="shared" si="20"/>
        <v>1.6581019736842117E-3</v>
      </c>
      <c r="U30" s="49">
        <f t="shared" si="21"/>
        <v>4.6804304884824899E-2</v>
      </c>
    </row>
    <row r="31" spans="1:21">
      <c r="A31" s="28"/>
      <c r="B31" s="63">
        <v>100</v>
      </c>
      <c r="C31" s="60">
        <v>1</v>
      </c>
      <c r="D31" s="63">
        <v>0.105</v>
      </c>
      <c r="E31" s="63">
        <f t="shared" si="16"/>
        <v>10.5</v>
      </c>
      <c r="F31" s="13">
        <f>B$4</f>
        <v>6.3E-2</v>
      </c>
      <c r="G31" s="13">
        <f>F31/$B$6</f>
        <v>0.33157894736842103</v>
      </c>
      <c r="H31" s="4">
        <f>1+G31</f>
        <v>1.331578947368421</v>
      </c>
      <c r="I31" s="11">
        <f t="shared" si="17"/>
        <v>3.4815789473684209</v>
      </c>
      <c r="J31" s="12">
        <f>I31*$B$10</f>
        <v>2.5972578947368419</v>
      </c>
      <c r="K31" s="25">
        <f>(B31)*'Annexe-ACPR'!$K$40</f>
        <v>0.93144285714285702</v>
      </c>
      <c r="L31" s="48">
        <f>(I31+K31)/B31</f>
        <v>4.4130218045112773E-2</v>
      </c>
      <c r="M31" s="10">
        <f>'Impact GSF-BPF sur crédits'!$D$10</f>
        <v>0.75</v>
      </c>
      <c r="N31" s="10">
        <f>M31*E31</f>
        <v>7.875</v>
      </c>
      <c r="O31" s="10">
        <f t="shared" si="18"/>
        <v>0.49612499999999998</v>
      </c>
      <c r="P31" s="10">
        <f>O31*($B$8/$B$6)</f>
        <v>0.66324078947368414</v>
      </c>
      <c r="Q31" s="11">
        <f>(B31)*'Annexe-ACPR'!$K$40</f>
        <v>0.93144285714285702</v>
      </c>
      <c r="R31" s="10">
        <f t="shared" si="19"/>
        <v>3.2604986842105261</v>
      </c>
      <c r="S31" s="48">
        <f>(R31+Q31)/B31</f>
        <v>4.1919415413533834E-2</v>
      </c>
      <c r="T31" s="49">
        <f t="shared" si="20"/>
        <v>2.2108026315789397E-3</v>
      </c>
      <c r="U31" s="29">
        <f t="shared" si="21"/>
        <v>5.0097251486927029E-2</v>
      </c>
    </row>
    <row r="32" spans="1:21">
      <c r="A32" s="28"/>
      <c r="B32" s="63">
        <v>100</v>
      </c>
      <c r="C32" s="60">
        <v>1.5</v>
      </c>
      <c r="D32" s="63">
        <v>0.105</v>
      </c>
      <c r="E32" s="63">
        <f t="shared" si="16"/>
        <v>15.75</v>
      </c>
      <c r="F32" s="13">
        <f>B$4</f>
        <v>6.3E-2</v>
      </c>
      <c r="G32" s="13">
        <f>F32/$B$6</f>
        <v>0.33157894736842103</v>
      </c>
      <c r="H32" s="4">
        <f>1+G32</f>
        <v>1.331578947368421</v>
      </c>
      <c r="I32" s="11">
        <f t="shared" si="17"/>
        <v>5.2223684210526313</v>
      </c>
      <c r="J32" s="12">
        <f>I32*$B$10</f>
        <v>3.8958868421052628</v>
      </c>
      <c r="K32" s="25">
        <f>(B32)*'Annexe-ACPR'!$K$40</f>
        <v>0.93144285714285702</v>
      </c>
      <c r="L32" s="48">
        <f>(I32+K32)/B32</f>
        <v>6.1538112781954882E-2</v>
      </c>
      <c r="M32" s="10">
        <f>'Impact GSF-BPF sur crédits'!$D$10</f>
        <v>0.75</v>
      </c>
      <c r="N32" s="10">
        <f>M32*E32</f>
        <v>11.8125</v>
      </c>
      <c r="O32" s="10">
        <f t="shared" si="18"/>
        <v>0.7441875</v>
      </c>
      <c r="P32" s="10">
        <f>O32*($B$8/$B$6)</f>
        <v>0.99486118421052627</v>
      </c>
      <c r="Q32" s="11">
        <f>(B32)*'Annexe-ACPR'!$K$40</f>
        <v>0.93144285714285702</v>
      </c>
      <c r="R32" s="10">
        <f t="shared" si="19"/>
        <v>4.890748026315789</v>
      </c>
      <c r="S32" s="48">
        <f>(R32+Q32)/B32</f>
        <v>5.8221908834586458E-2</v>
      </c>
      <c r="T32" s="49">
        <f t="shared" si="20"/>
        <v>3.3162039473684235E-3</v>
      </c>
      <c r="U32" s="29">
        <f t="shared" si="21"/>
        <v>5.3888619547345785E-2</v>
      </c>
    </row>
    <row r="33" spans="1:21">
      <c r="A33" s="28"/>
    </row>
    <row r="34" spans="1:21">
      <c r="A34" s="28"/>
      <c r="B34" s="87" t="s">
        <v>61</v>
      </c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</row>
    <row r="35" spans="1:21" ht="57.75" hidden="1" customHeight="1">
      <c r="A35" s="28"/>
      <c r="B35" s="10"/>
      <c r="C35" s="10"/>
      <c r="D35" s="88" t="s">
        <v>34</v>
      </c>
      <c r="E35" s="88"/>
      <c r="F35" s="8" t="s">
        <v>35</v>
      </c>
      <c r="G35" s="8" t="s">
        <v>35</v>
      </c>
      <c r="H35" s="10"/>
      <c r="I35" s="10"/>
      <c r="J35" s="8" t="s">
        <v>35</v>
      </c>
      <c r="K35" s="8" t="s">
        <v>36</v>
      </c>
      <c r="L35" s="10"/>
      <c r="M35" s="8" t="s">
        <v>37</v>
      </c>
      <c r="N35" s="10"/>
      <c r="O35" s="8" t="s">
        <v>38</v>
      </c>
      <c r="P35" s="8" t="s">
        <v>35</v>
      </c>
      <c r="Q35" s="8" t="s">
        <v>39</v>
      </c>
      <c r="R35" s="8" t="s">
        <v>40</v>
      </c>
      <c r="S35" s="8" t="s">
        <v>41</v>
      </c>
      <c r="T35" s="22"/>
      <c r="U35" s="10"/>
    </row>
    <row r="36" spans="1:21" ht="75">
      <c r="A36" s="28"/>
      <c r="B36" s="63" t="s">
        <v>42</v>
      </c>
      <c r="C36" s="7" t="s">
        <v>43</v>
      </c>
      <c r="D36" s="63" t="s">
        <v>44</v>
      </c>
      <c r="E36" s="63" t="s">
        <v>45</v>
      </c>
      <c r="F36" s="59" t="s">
        <v>46</v>
      </c>
      <c r="G36" s="59" t="s">
        <v>47</v>
      </c>
      <c r="H36" s="59" t="s">
        <v>48</v>
      </c>
      <c r="I36" s="2" t="s">
        <v>49</v>
      </c>
      <c r="J36" s="2" t="s">
        <v>50</v>
      </c>
      <c r="K36" s="15" t="s">
        <v>51</v>
      </c>
      <c r="L36" s="2" t="s">
        <v>52</v>
      </c>
      <c r="M36" s="2" t="s">
        <v>53</v>
      </c>
      <c r="N36" s="2" t="s">
        <v>54</v>
      </c>
      <c r="O36" s="2" t="s">
        <v>55</v>
      </c>
      <c r="P36" s="2" t="s">
        <v>56</v>
      </c>
      <c r="Q36" s="15" t="s">
        <v>51</v>
      </c>
      <c r="R36" s="2" t="s">
        <v>57</v>
      </c>
      <c r="S36" s="2" t="s">
        <v>62</v>
      </c>
      <c r="T36" s="23" t="s">
        <v>59</v>
      </c>
      <c r="U36" s="23" t="s">
        <v>60</v>
      </c>
    </row>
    <row r="37" spans="1:21">
      <c r="A37" s="28"/>
      <c r="B37" s="63">
        <v>100</v>
      </c>
      <c r="C37" s="7">
        <v>0.25</v>
      </c>
      <c r="D37" s="63">
        <v>0.105</v>
      </c>
      <c r="E37" s="63">
        <f>D37*C37*B37</f>
        <v>2.625</v>
      </c>
      <c r="F37" s="13">
        <f>B$4</f>
        <v>6.3E-2</v>
      </c>
      <c r="G37" s="13">
        <f>F37/$B$6</f>
        <v>0.33157894736842103</v>
      </c>
      <c r="H37" s="4">
        <f>1+G37</f>
        <v>1.331578947368421</v>
      </c>
      <c r="I37" s="11">
        <f>G37*E37</f>
        <v>0.87039473684210522</v>
      </c>
      <c r="J37" s="12">
        <f>I37*$B$10</f>
        <v>0.64931447368421047</v>
      </c>
      <c r="K37" s="25">
        <f>(B37)*'Annexe-ACPR'!$K$40</f>
        <v>0.93144285714285702</v>
      </c>
      <c r="L37" s="48">
        <f>(I37+K37)/B37</f>
        <v>1.8018375939849621E-2</v>
      </c>
      <c r="M37" s="10">
        <f>'Impact GSF-BPF sur crédits'!$D$12</f>
        <v>0.85</v>
      </c>
      <c r="N37" s="10">
        <f>M37*E37</f>
        <v>2.2312499999999997</v>
      </c>
      <c r="O37" s="10">
        <f>N37*F37</f>
        <v>0.14056874999999999</v>
      </c>
      <c r="P37" s="10">
        <f>O37*($B$8/$B$6)</f>
        <v>0.18791822368421052</v>
      </c>
      <c r="Q37" s="11">
        <f>(B37)*'Annexe-ACPR'!$K$40</f>
        <v>0.93144285714285702</v>
      </c>
      <c r="R37" s="10">
        <f>P37+J37</f>
        <v>0.83723269736842099</v>
      </c>
      <c r="S37" s="48">
        <f>(R37+Q37)/B37</f>
        <v>1.768675554511278E-2</v>
      </c>
      <c r="T37" s="49">
        <f>L37-S37</f>
        <v>3.3162039473684166E-4</v>
      </c>
      <c r="U37" s="29">
        <f>T37/L37</f>
        <v>1.8404566307412128E-2</v>
      </c>
    </row>
    <row r="38" spans="1:21">
      <c r="A38" s="28"/>
      <c r="B38" s="63">
        <v>100</v>
      </c>
      <c r="C38" s="60">
        <v>0.5</v>
      </c>
      <c r="D38" s="63">
        <v>0.105</v>
      </c>
      <c r="E38" s="63">
        <f t="shared" ref="E38:E41" si="22">D38*C38*B38</f>
        <v>5.25</v>
      </c>
      <c r="F38" s="13">
        <f>B$4</f>
        <v>6.3E-2</v>
      </c>
      <c r="G38" s="13">
        <f>F38/$B$6</f>
        <v>0.33157894736842103</v>
      </c>
      <c r="H38" s="4">
        <f>1+G38</f>
        <v>1.331578947368421</v>
      </c>
      <c r="I38" s="11">
        <f t="shared" ref="I38:I41" si="23">G38*E38</f>
        <v>1.7407894736842104</v>
      </c>
      <c r="J38" s="12">
        <f>I38*$B$10</f>
        <v>1.2986289473684209</v>
      </c>
      <c r="K38" s="25">
        <f>(B38)*'Annexe-ACPR'!$K$40</f>
        <v>0.93144285714285702</v>
      </c>
      <c r="L38" s="48">
        <f t="shared" ref="L38:L41" si="24">(I38+K38)/B38</f>
        <v>2.6722323308270672E-2</v>
      </c>
      <c r="M38" s="10">
        <f>'Impact GSF-BPF sur crédits'!$D$12</f>
        <v>0.85</v>
      </c>
      <c r="N38" s="10">
        <f>M38*E38</f>
        <v>4.4624999999999995</v>
      </c>
      <c r="O38" s="10">
        <f t="shared" ref="O38:O41" si="25">N38*F38</f>
        <v>0.28113749999999998</v>
      </c>
      <c r="P38" s="10">
        <f>O38*($B$8/$B$6)</f>
        <v>0.37583644736842103</v>
      </c>
      <c r="Q38" s="11">
        <f>(B38)*'Annexe-ACPR'!$K$40</f>
        <v>0.93144285714285702</v>
      </c>
      <c r="R38" s="10">
        <f t="shared" ref="R38:R41" si="26">P38+J38</f>
        <v>1.674465394736842</v>
      </c>
      <c r="S38" s="48">
        <f t="shared" ref="S38:S41" si="27">(R38+Q38)/B38</f>
        <v>2.6059082518796989E-2</v>
      </c>
      <c r="T38" s="49">
        <f t="shared" ref="T38:T41" si="28">L38-S38</f>
        <v>6.6324078947368331E-4</v>
      </c>
      <c r="U38" s="29">
        <f t="shared" ref="U38:U41" si="29">T38/L38</f>
        <v>2.4819727754300747E-2</v>
      </c>
    </row>
    <row r="39" spans="1:21">
      <c r="B39" s="63">
        <v>100</v>
      </c>
      <c r="C39" s="7">
        <v>0.75</v>
      </c>
      <c r="D39" s="63">
        <v>0.105</v>
      </c>
      <c r="E39" s="63">
        <f t="shared" si="22"/>
        <v>7.875</v>
      </c>
      <c r="F39" s="13">
        <f>B$4</f>
        <v>6.3E-2</v>
      </c>
      <c r="G39" s="13">
        <f>F39/$B$6</f>
        <v>0.33157894736842103</v>
      </c>
      <c r="H39" s="4">
        <f>1+G39</f>
        <v>1.331578947368421</v>
      </c>
      <c r="I39" s="11">
        <f t="shared" si="23"/>
        <v>2.6111842105263157</v>
      </c>
      <c r="J39" s="12">
        <f>I39*$B$10</f>
        <v>1.9479434210526314</v>
      </c>
      <c r="K39" s="25">
        <f>(B39)*'Annexe-ACPR'!$K$40</f>
        <v>0.93144285714285702</v>
      </c>
      <c r="L39" s="48">
        <f t="shared" si="24"/>
        <v>3.5426270676691726E-2</v>
      </c>
      <c r="M39" s="10">
        <f>'Impact GSF-BPF sur crédits'!$D$12</f>
        <v>0.85</v>
      </c>
      <c r="N39" s="10">
        <f>M39*E39</f>
        <v>6.6937499999999996</v>
      </c>
      <c r="O39" s="10">
        <f t="shared" si="25"/>
        <v>0.42170625</v>
      </c>
      <c r="P39" s="10">
        <f>O39*($B$8/$B$6)</f>
        <v>0.56375467105263155</v>
      </c>
      <c r="Q39" s="11">
        <f>(B39)*'Annexe-ACPR'!$K$40</f>
        <v>0.93144285714285702</v>
      </c>
      <c r="R39" s="10">
        <f t="shared" si="26"/>
        <v>2.511698092105263</v>
      </c>
      <c r="S39" s="48">
        <f t="shared" si="27"/>
        <v>3.4431409492481198E-2</v>
      </c>
      <c r="T39" s="49">
        <f t="shared" si="28"/>
        <v>9.9486118421052844E-4</v>
      </c>
      <c r="U39" s="49">
        <f t="shared" si="29"/>
        <v>2.8082582930894981E-2</v>
      </c>
    </row>
    <row r="40" spans="1:21">
      <c r="A40" s="28"/>
      <c r="B40" s="63">
        <v>100</v>
      </c>
      <c r="C40" s="60">
        <v>1</v>
      </c>
      <c r="D40" s="63">
        <v>0.105</v>
      </c>
      <c r="E40" s="63">
        <f t="shared" si="22"/>
        <v>10.5</v>
      </c>
      <c r="F40" s="13">
        <f>B$4</f>
        <v>6.3E-2</v>
      </c>
      <c r="G40" s="13">
        <f>F40/$B$6</f>
        <v>0.33157894736842103</v>
      </c>
      <c r="H40" s="4">
        <f>1+G40</f>
        <v>1.331578947368421</v>
      </c>
      <c r="I40" s="11">
        <f t="shared" si="23"/>
        <v>3.4815789473684209</v>
      </c>
      <c r="J40" s="12">
        <f>I40*$B$10</f>
        <v>2.5972578947368419</v>
      </c>
      <c r="K40" s="25">
        <f>(B40)*'Annexe-ACPR'!$K$40</f>
        <v>0.93144285714285702</v>
      </c>
      <c r="L40" s="48">
        <f t="shared" si="24"/>
        <v>4.4130218045112773E-2</v>
      </c>
      <c r="M40" s="10">
        <v>0.85</v>
      </c>
      <c r="N40" s="10">
        <f>M40*E40</f>
        <v>8.9249999999999989</v>
      </c>
      <c r="O40" s="10">
        <f t="shared" si="25"/>
        <v>0.56227499999999997</v>
      </c>
      <c r="P40" s="10">
        <f>O40*($B$8/$B$6)</f>
        <v>0.75167289473684207</v>
      </c>
      <c r="Q40" s="11">
        <f>(B40)*'Annexe-ACPR'!$K$40</f>
        <v>0.93144285714285702</v>
      </c>
      <c r="R40" s="10">
        <f t="shared" si="26"/>
        <v>3.3489307894736839</v>
      </c>
      <c r="S40" s="48">
        <f t="shared" si="27"/>
        <v>4.2803736466165407E-2</v>
      </c>
      <c r="T40" s="49">
        <f t="shared" si="28"/>
        <v>1.3264815789473666E-3</v>
      </c>
      <c r="U40" s="29">
        <f t="shared" si="29"/>
        <v>3.0058350892156277E-2</v>
      </c>
    </row>
    <row r="41" spans="1:21">
      <c r="A41" s="28"/>
      <c r="B41" s="63">
        <v>100</v>
      </c>
      <c r="C41" s="60">
        <v>1.5</v>
      </c>
      <c r="D41" s="63">
        <v>0.105</v>
      </c>
      <c r="E41" s="63">
        <f t="shared" si="22"/>
        <v>15.75</v>
      </c>
      <c r="F41" s="13">
        <f>B$4</f>
        <v>6.3E-2</v>
      </c>
      <c r="G41" s="13">
        <f>F41/$B$6</f>
        <v>0.33157894736842103</v>
      </c>
      <c r="H41" s="4">
        <f>1+G41</f>
        <v>1.331578947368421</v>
      </c>
      <c r="I41" s="11">
        <f t="shared" si="23"/>
        <v>5.2223684210526313</v>
      </c>
      <c r="J41" s="12">
        <f>I41*$B$10</f>
        <v>3.8958868421052628</v>
      </c>
      <c r="K41" s="25">
        <f>(B41)*'Annexe-ACPR'!$K$40</f>
        <v>0.93144285714285702</v>
      </c>
      <c r="L41" s="48">
        <f t="shared" si="24"/>
        <v>6.1538112781954882E-2</v>
      </c>
      <c r="M41" s="10">
        <f>'Impact GSF-BPF sur crédits'!$D$12</f>
        <v>0.85</v>
      </c>
      <c r="N41" s="10">
        <f>M41*E41</f>
        <v>13.387499999999999</v>
      </c>
      <c r="O41" s="10">
        <f t="shared" si="25"/>
        <v>0.84341250000000001</v>
      </c>
      <c r="P41" s="10">
        <f>O41*($B$8/$B$6)</f>
        <v>1.1275093421052631</v>
      </c>
      <c r="Q41" s="11">
        <f>(B41)*'Annexe-ACPR'!$K$40</f>
        <v>0.93144285714285702</v>
      </c>
      <c r="R41" s="10">
        <f t="shared" si="26"/>
        <v>5.0233961842105259</v>
      </c>
      <c r="S41" s="48">
        <f t="shared" si="27"/>
        <v>5.9548390413533825E-2</v>
      </c>
      <c r="T41" s="49">
        <f t="shared" si="28"/>
        <v>1.9897223684210569E-3</v>
      </c>
      <c r="U41" s="29">
        <f t="shared" si="29"/>
        <v>3.2333171728407516E-2</v>
      </c>
    </row>
    <row r="42" spans="1:21">
      <c r="A42" s="28"/>
    </row>
    <row r="43" spans="1:21">
      <c r="A43" s="28"/>
    </row>
    <row r="45" spans="1:21">
      <c r="B45" s="87" t="s">
        <v>61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</row>
    <row r="46" spans="1:21" ht="60">
      <c r="B46" s="10"/>
      <c r="C46" s="10"/>
      <c r="D46" s="88" t="s">
        <v>34</v>
      </c>
      <c r="E46" s="88"/>
      <c r="F46" s="8" t="s">
        <v>35</v>
      </c>
      <c r="G46" s="8" t="s">
        <v>35</v>
      </c>
      <c r="H46" s="10"/>
      <c r="I46" s="10"/>
      <c r="J46" s="8" t="s">
        <v>35</v>
      </c>
      <c r="K46" s="8" t="s">
        <v>36</v>
      </c>
      <c r="L46" s="10"/>
      <c r="M46" s="8" t="s">
        <v>37</v>
      </c>
      <c r="N46" s="10"/>
      <c r="O46" s="8" t="s">
        <v>38</v>
      </c>
      <c r="P46" s="8" t="s">
        <v>35</v>
      </c>
      <c r="Q46" s="8" t="s">
        <v>39</v>
      </c>
      <c r="R46" s="8" t="s">
        <v>40</v>
      </c>
      <c r="S46" s="8" t="s">
        <v>41</v>
      </c>
      <c r="T46" s="22"/>
      <c r="U46" s="10"/>
    </row>
    <row r="47" spans="1:21" ht="75">
      <c r="B47" s="63" t="s">
        <v>42</v>
      </c>
      <c r="C47" s="7" t="s">
        <v>43</v>
      </c>
      <c r="D47" s="63" t="s">
        <v>44</v>
      </c>
      <c r="E47" s="63" t="s">
        <v>45</v>
      </c>
      <c r="F47" s="59" t="s">
        <v>46</v>
      </c>
      <c r="G47" s="59" t="s">
        <v>47</v>
      </c>
      <c r="H47" s="59" t="s">
        <v>48</v>
      </c>
      <c r="I47" s="2" t="s">
        <v>49</v>
      </c>
      <c r="J47" s="2" t="s">
        <v>50</v>
      </c>
      <c r="K47" s="15" t="s">
        <v>51</v>
      </c>
      <c r="L47" s="2" t="s">
        <v>52</v>
      </c>
      <c r="M47" s="2" t="s">
        <v>53</v>
      </c>
      <c r="N47" s="2" t="s">
        <v>54</v>
      </c>
      <c r="O47" s="2" t="s">
        <v>55</v>
      </c>
      <c r="P47" s="2" t="s">
        <v>56</v>
      </c>
      <c r="Q47" s="15" t="s">
        <v>51</v>
      </c>
      <c r="R47" s="2" t="s">
        <v>57</v>
      </c>
      <c r="S47" s="2" t="s">
        <v>62</v>
      </c>
      <c r="T47" s="23" t="s">
        <v>59</v>
      </c>
      <c r="U47" s="23" t="s">
        <v>60</v>
      </c>
    </row>
    <row r="48" spans="1:21">
      <c r="B48" s="63">
        <v>100</v>
      </c>
      <c r="C48" s="7">
        <v>0.25</v>
      </c>
      <c r="D48" s="63">
        <v>0.105</v>
      </c>
      <c r="E48" s="63">
        <f>D48*C48*B48</f>
        <v>2.625</v>
      </c>
      <c r="F48" s="13">
        <f>B$4</f>
        <v>6.3E-2</v>
      </c>
      <c r="G48" s="13">
        <f>F48/$B$6</f>
        <v>0.33157894736842103</v>
      </c>
      <c r="H48" s="4">
        <f>1+G48</f>
        <v>1.331578947368421</v>
      </c>
      <c r="I48" s="11">
        <f>G48*E48</f>
        <v>0.87039473684210522</v>
      </c>
      <c r="J48" s="12">
        <f>I48*$B$10</f>
        <v>0.64931447368421047</v>
      </c>
      <c r="K48" s="25">
        <f>(B48)*'Annexe-ACPR'!$K$40</f>
        <v>0.93144285714285702</v>
      </c>
      <c r="L48" s="48">
        <f>(I48+K48)/B48</f>
        <v>1.8018375939849621E-2</v>
      </c>
      <c r="M48" s="10">
        <f>'Impact GSF-BPF sur crédits'!$D$10</f>
        <v>0.75</v>
      </c>
      <c r="N48" s="10">
        <f>M48*E48</f>
        <v>1.96875</v>
      </c>
      <c r="O48" s="10">
        <f>N48*F48</f>
        <v>0.12403125</v>
      </c>
      <c r="P48" s="10">
        <f>O48*($B$8/$B$6)</f>
        <v>0.16581019736842104</v>
      </c>
      <c r="Q48" s="11">
        <f>(B48)*'Annexe-ACPR'!$K$40</f>
        <v>0.93144285714285702</v>
      </c>
      <c r="R48" s="10">
        <f>P48+J48</f>
        <v>0.81512467105263153</v>
      </c>
      <c r="S48" s="48">
        <f>(R48+Q48)/B48</f>
        <v>1.7465675281954883E-2</v>
      </c>
      <c r="T48" s="49">
        <f>L48-S48</f>
        <v>5.5270065789473841E-4</v>
      </c>
      <c r="U48" s="29">
        <f>T48/L48</f>
        <v>3.067427717902034E-2</v>
      </c>
    </row>
    <row r="49" spans="2:21">
      <c r="B49" s="63">
        <v>100</v>
      </c>
      <c r="C49" s="60">
        <v>0.5</v>
      </c>
      <c r="D49" s="63">
        <v>0.105</v>
      </c>
      <c r="E49" s="63">
        <f t="shared" ref="E49:E52" si="30">D49*C49*B49</f>
        <v>5.25</v>
      </c>
      <c r="F49" s="13">
        <f>B$4</f>
        <v>6.3E-2</v>
      </c>
      <c r="G49" s="13">
        <f>F49/$B$6</f>
        <v>0.33157894736842103</v>
      </c>
      <c r="H49" s="4">
        <f>1+G49</f>
        <v>1.331578947368421</v>
      </c>
      <c r="I49" s="11">
        <f t="shared" ref="I49:I52" si="31">G49*E49</f>
        <v>1.7407894736842104</v>
      </c>
      <c r="J49" s="12">
        <f>I49*$B$10</f>
        <v>1.2986289473684209</v>
      </c>
      <c r="K49" s="25">
        <f>(B49)*'Annexe-ACPR'!$K$40</f>
        <v>0.93144285714285702</v>
      </c>
      <c r="L49" s="48">
        <f>(I49+K49)/B49</f>
        <v>2.6722323308270672E-2</v>
      </c>
      <c r="M49" s="10">
        <f>'Impact GSF-BPF sur crédits'!$D$10</f>
        <v>0.75</v>
      </c>
      <c r="N49" s="10">
        <f>M49*E49</f>
        <v>3.9375</v>
      </c>
      <c r="O49" s="10">
        <f t="shared" ref="O49:O52" si="32">N49*F49</f>
        <v>0.24806249999999999</v>
      </c>
      <c r="P49" s="10">
        <f>O49*($B$8/$B$6)</f>
        <v>0.33162039473684207</v>
      </c>
      <c r="Q49" s="11">
        <f>(B49)*'Annexe-ACPR'!$K$40</f>
        <v>0.93144285714285702</v>
      </c>
      <c r="R49" s="10">
        <f t="shared" ref="R49:R52" si="33">P49+J49</f>
        <v>1.6302493421052631</v>
      </c>
      <c r="S49" s="48">
        <f>(R49+Q49)/B49</f>
        <v>2.5616921992481202E-2</v>
      </c>
      <c r="T49" s="49">
        <f t="shared" ref="T49:T52" si="34">L49-S49</f>
        <v>1.1054013157894699E-3</v>
      </c>
      <c r="U49" s="29">
        <f t="shared" ref="U49:U52" si="35">T49/L49</f>
        <v>4.1366212923834488E-2</v>
      </c>
    </row>
    <row r="50" spans="2:21">
      <c r="B50" s="63">
        <v>100</v>
      </c>
      <c r="C50" s="7">
        <v>0.75</v>
      </c>
      <c r="D50" s="63">
        <v>0.105</v>
      </c>
      <c r="E50" s="63">
        <f t="shared" si="30"/>
        <v>7.875</v>
      </c>
      <c r="F50" s="13">
        <f>B$4</f>
        <v>6.3E-2</v>
      </c>
      <c r="G50" s="13">
        <f>F50/$B$6</f>
        <v>0.33157894736842103</v>
      </c>
      <c r="H50" s="4">
        <f>1+G50</f>
        <v>1.331578947368421</v>
      </c>
      <c r="I50" s="11">
        <f t="shared" si="31"/>
        <v>2.6111842105263157</v>
      </c>
      <c r="J50" s="12">
        <f>I50*$B$10</f>
        <v>1.9479434210526314</v>
      </c>
      <c r="K50" s="25">
        <f>(B50)*'Annexe-ACPR'!$K$40</f>
        <v>0.93144285714285702</v>
      </c>
      <c r="L50" s="48">
        <f>(I50+K50)/B50</f>
        <v>3.5426270676691726E-2</v>
      </c>
      <c r="M50" s="10">
        <f>'Impact GSF-BPF sur crédits'!$D$10</f>
        <v>0.75</v>
      </c>
      <c r="N50" s="10">
        <f>M50*E50</f>
        <v>5.90625</v>
      </c>
      <c r="O50" s="10">
        <f t="shared" si="32"/>
        <v>0.37209375</v>
      </c>
      <c r="P50" s="10">
        <f>O50*($B$8/$B$6)</f>
        <v>0.49743059210526314</v>
      </c>
      <c r="Q50" s="11">
        <f>(B50)*'Annexe-ACPR'!$K$40</f>
        <v>0.93144285714285702</v>
      </c>
      <c r="R50" s="10">
        <f t="shared" si="33"/>
        <v>2.4453740131578945</v>
      </c>
      <c r="S50" s="48">
        <f>(R50+Q50)/B50</f>
        <v>3.3768168703007514E-2</v>
      </c>
      <c r="T50" s="49">
        <f t="shared" si="34"/>
        <v>1.6581019736842117E-3</v>
      </c>
      <c r="U50" s="49">
        <f t="shared" si="35"/>
        <v>4.6804304884824899E-2</v>
      </c>
    </row>
    <row r="51" spans="2:21">
      <c r="B51" s="63">
        <v>100</v>
      </c>
      <c r="C51" s="60">
        <v>1</v>
      </c>
      <c r="D51" s="63">
        <v>0.105</v>
      </c>
      <c r="E51" s="63">
        <f t="shared" si="30"/>
        <v>10.5</v>
      </c>
      <c r="F51" s="13">
        <f>B$4</f>
        <v>6.3E-2</v>
      </c>
      <c r="G51" s="13">
        <f>F51/$B$6</f>
        <v>0.33157894736842103</v>
      </c>
      <c r="H51" s="4">
        <f>1+G51</f>
        <v>1.331578947368421</v>
      </c>
      <c r="I51" s="11">
        <f t="shared" si="31"/>
        <v>3.4815789473684209</v>
      </c>
      <c r="J51" s="12">
        <f>I51*$B$10</f>
        <v>2.5972578947368419</v>
      </c>
      <c r="K51" s="25">
        <f>(B51)*'Annexe-ACPR'!$K$40</f>
        <v>0.93144285714285702</v>
      </c>
      <c r="L51" s="48">
        <f>(I51+K51)/B51</f>
        <v>4.4130218045112773E-2</v>
      </c>
      <c r="M51" s="10">
        <f>'Impact GSF-BPF sur crédits'!$D$10</f>
        <v>0.75</v>
      </c>
      <c r="N51" s="10">
        <f>M51*E51</f>
        <v>7.875</v>
      </c>
      <c r="O51" s="10">
        <f t="shared" si="32"/>
        <v>0.49612499999999998</v>
      </c>
      <c r="P51" s="10">
        <f>O51*($B$8/$B$6)</f>
        <v>0.66324078947368414</v>
      </c>
      <c r="Q51" s="11">
        <f>(B51)*'Annexe-ACPR'!$K$40</f>
        <v>0.93144285714285702</v>
      </c>
      <c r="R51" s="10">
        <f t="shared" si="33"/>
        <v>3.2604986842105261</v>
      </c>
      <c r="S51" s="48">
        <f>(R51+Q51)/B51</f>
        <v>4.1919415413533834E-2</v>
      </c>
      <c r="T51" s="49">
        <f t="shared" si="34"/>
        <v>2.2108026315789397E-3</v>
      </c>
      <c r="U51" s="29">
        <f t="shared" si="35"/>
        <v>5.0097251486927029E-2</v>
      </c>
    </row>
    <row r="52" spans="2:21">
      <c r="B52" s="63">
        <v>100</v>
      </c>
      <c r="C52" s="60">
        <v>1.5</v>
      </c>
      <c r="D52" s="63">
        <v>0.105</v>
      </c>
      <c r="E52" s="63">
        <f t="shared" si="30"/>
        <v>15.75</v>
      </c>
      <c r="F52" s="13">
        <f>B$4</f>
        <v>6.3E-2</v>
      </c>
      <c r="G52" s="13">
        <f>F52/$B$6</f>
        <v>0.33157894736842103</v>
      </c>
      <c r="H52" s="4">
        <f>1+G52</f>
        <v>1.331578947368421</v>
      </c>
      <c r="I52" s="11">
        <f t="shared" si="31"/>
        <v>5.2223684210526313</v>
      </c>
      <c r="J52" s="12">
        <f>I52*$B$10</f>
        <v>3.8958868421052628</v>
      </c>
      <c r="K52" s="25">
        <f>(B52)*'Annexe-ACPR'!$K$40</f>
        <v>0.93144285714285702</v>
      </c>
      <c r="L52" s="48">
        <f>(I52+K52)/B52</f>
        <v>6.1538112781954882E-2</v>
      </c>
      <c r="M52" s="10">
        <f>'Impact GSF-BPF sur crédits'!$D$10</f>
        <v>0.75</v>
      </c>
      <c r="N52" s="10">
        <f>M52*E52</f>
        <v>11.8125</v>
      </c>
      <c r="O52" s="10">
        <f t="shared" si="32"/>
        <v>0.7441875</v>
      </c>
      <c r="P52" s="10">
        <f>O52*($B$8/$B$6)</f>
        <v>0.99486118421052627</v>
      </c>
      <c r="Q52" s="11">
        <f>(B52)*'Annexe-ACPR'!$K$40</f>
        <v>0.93144285714285702</v>
      </c>
      <c r="R52" s="10">
        <f t="shared" si="33"/>
        <v>4.890748026315789</v>
      </c>
      <c r="S52" s="48">
        <f>(R52+Q52)/B52</f>
        <v>5.8221908834586458E-2</v>
      </c>
      <c r="T52" s="49">
        <f t="shared" si="34"/>
        <v>3.3162039473684235E-3</v>
      </c>
      <c r="U52" s="29">
        <f t="shared" si="35"/>
        <v>5.3888619547345785E-2</v>
      </c>
    </row>
  </sheetData>
  <mergeCells count="17">
    <mergeCell ref="B3:C3"/>
    <mergeCell ref="B4:C4"/>
    <mergeCell ref="B5:C5"/>
    <mergeCell ref="B6:C6"/>
    <mergeCell ref="B7:C7"/>
    <mergeCell ref="B45:U45"/>
    <mergeCell ref="D46:E46"/>
    <mergeCell ref="D35:E35"/>
    <mergeCell ref="D7:D10"/>
    <mergeCell ref="B8:C8"/>
    <mergeCell ref="B9:C9"/>
    <mergeCell ref="B10:C10"/>
    <mergeCell ref="D15:E15"/>
    <mergeCell ref="B14:U14"/>
    <mergeCell ref="B25:U25"/>
    <mergeCell ref="D26:E26"/>
    <mergeCell ref="B34:U3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2663C-6749-493C-96E4-B1BF62C94681}">
  <dimension ref="C1:P54"/>
  <sheetViews>
    <sheetView topLeftCell="A33" workbookViewId="0">
      <selection activeCell="N49" sqref="N49"/>
    </sheetView>
  </sheetViews>
  <sheetFormatPr defaultColWidth="11.42578125" defaultRowHeight="15"/>
  <cols>
    <col min="3" max="3" width="11.5703125" customWidth="1"/>
    <col min="4" max="4" width="18.28515625" customWidth="1"/>
    <col min="9" max="9" width="13.5703125" bestFit="1" customWidth="1"/>
    <col min="13" max="13" width="16.140625" customWidth="1"/>
    <col min="14" max="14" width="15.140625" customWidth="1"/>
    <col min="15" max="15" width="14.5703125" customWidth="1"/>
  </cols>
  <sheetData>
    <row r="1" spans="4:16">
      <c r="D1" s="96" t="s">
        <v>63</v>
      </c>
      <c r="E1" s="96"/>
      <c r="F1" s="96"/>
      <c r="G1" s="96"/>
      <c r="H1" s="96"/>
      <c r="I1" s="96"/>
      <c r="J1" s="96"/>
      <c r="K1" s="96"/>
    </row>
    <row r="2" spans="4:16">
      <c r="D2" s="96"/>
      <c r="E2" s="96"/>
      <c r="F2" s="96"/>
      <c r="G2" s="96"/>
      <c r="H2" s="96"/>
      <c r="I2" s="96"/>
      <c r="J2" s="96"/>
      <c r="K2" s="96"/>
    </row>
    <row r="5" spans="4:16" ht="30" customHeight="1">
      <c r="L5" s="5" t="s">
        <v>64</v>
      </c>
      <c r="M5" s="62" t="s">
        <v>65</v>
      </c>
      <c r="N5" s="8" t="s">
        <v>66</v>
      </c>
      <c r="O5" s="8" t="s">
        <v>67</v>
      </c>
      <c r="P5" s="8" t="s">
        <v>68</v>
      </c>
    </row>
    <row r="6" spans="4:16">
      <c r="L6" s="6">
        <f>25.6/426.7</f>
        <v>5.9995312866182336E-2</v>
      </c>
      <c r="M6" s="61">
        <f>28.6/150.6</f>
        <v>0.18990703851261623</v>
      </c>
      <c r="N6" s="9">
        <f>38.3/150.6</f>
        <v>0.25431606905710491</v>
      </c>
      <c r="O6" s="9">
        <f>9.6/38.3</f>
        <v>0.25065274151436034</v>
      </c>
      <c r="P6" s="10">
        <v>0.34</v>
      </c>
    </row>
    <row r="34" spans="3:16">
      <c r="C34" s="75" t="s">
        <v>69</v>
      </c>
      <c r="D34" s="98" t="s">
        <v>70</v>
      </c>
      <c r="E34" s="99"/>
      <c r="F34" s="99"/>
      <c r="G34" s="99"/>
      <c r="H34" s="99"/>
      <c r="I34" s="99"/>
      <c r="J34" s="99"/>
      <c r="K34" s="99"/>
    </row>
    <row r="35" spans="3:16">
      <c r="C35" s="75"/>
      <c r="D35" s="56" t="s">
        <v>71</v>
      </c>
      <c r="E35" s="10" t="s">
        <v>72</v>
      </c>
      <c r="F35" s="10" t="s">
        <v>73</v>
      </c>
      <c r="G35" s="10" t="s">
        <v>74</v>
      </c>
      <c r="H35" s="10" t="s">
        <v>75</v>
      </c>
      <c r="I35" s="46" t="s">
        <v>76</v>
      </c>
      <c r="J35" s="10" t="s">
        <v>77</v>
      </c>
      <c r="K35" s="10" t="s">
        <v>78</v>
      </c>
    </row>
    <row r="36" spans="3:16">
      <c r="C36" s="75"/>
      <c r="D36" s="56" t="s">
        <v>79</v>
      </c>
      <c r="E36" s="10">
        <v>25107</v>
      </c>
      <c r="F36" s="10">
        <v>23712</v>
      </c>
      <c r="G36" s="27">
        <v>24145</v>
      </c>
      <c r="H36" s="10">
        <v>22446</v>
      </c>
      <c r="I36" s="46">
        <v>4257</v>
      </c>
      <c r="J36" s="46">
        <v>5543</v>
      </c>
      <c r="K36" s="3">
        <f>SUM(E36:J36)</f>
        <v>105210</v>
      </c>
      <c r="M36" s="45"/>
    </row>
    <row r="37" spans="3:16">
      <c r="C37" s="75"/>
      <c r="D37" s="56" t="s">
        <v>80</v>
      </c>
      <c r="E37" s="10">
        <v>13663</v>
      </c>
      <c r="F37" s="10">
        <v>12527</v>
      </c>
      <c r="G37" s="10">
        <v>15485</v>
      </c>
      <c r="H37" s="10">
        <v>18506</v>
      </c>
      <c r="I37" s="46">
        <v>1919</v>
      </c>
      <c r="J37" s="46">
        <v>3101</v>
      </c>
      <c r="K37" s="3">
        <f>SUM(E37:J37)</f>
        <v>65201</v>
      </c>
      <c r="M37" s="45"/>
    </row>
    <row r="38" spans="3:16">
      <c r="C38" s="75"/>
      <c r="D38" s="56" t="s">
        <v>81</v>
      </c>
      <c r="E38" s="10">
        <f>E36-E37</f>
        <v>11444</v>
      </c>
      <c r="F38" s="10">
        <f t="shared" ref="F38:J38" si="0">F36-F37</f>
        <v>11185</v>
      </c>
      <c r="G38" s="10">
        <f t="shared" si="0"/>
        <v>8660</v>
      </c>
      <c r="H38" s="10">
        <f t="shared" si="0"/>
        <v>3940</v>
      </c>
      <c r="I38" s="10">
        <f t="shared" si="0"/>
        <v>2338</v>
      </c>
      <c r="J38" s="10">
        <f t="shared" si="0"/>
        <v>2442</v>
      </c>
      <c r="K38" s="3">
        <f>SUM(E38:J38)</f>
        <v>40009</v>
      </c>
      <c r="M38" s="45"/>
    </row>
    <row r="39" spans="3:16">
      <c r="C39" s="75"/>
      <c r="D39" s="100"/>
      <c r="E39" s="100"/>
      <c r="F39" s="100"/>
      <c r="G39" s="100"/>
      <c r="H39" s="100"/>
      <c r="I39" s="100"/>
      <c r="J39" s="100"/>
      <c r="K39" s="101"/>
    </row>
    <row r="40" spans="3:16">
      <c r="C40" s="75"/>
      <c r="D40" s="98" t="s">
        <v>82</v>
      </c>
      <c r="E40" s="99"/>
      <c r="F40" s="99"/>
      <c r="G40" s="99"/>
      <c r="H40" s="99"/>
      <c r="I40" s="99"/>
      <c r="J40" s="99"/>
      <c r="K40" s="47">
        <f>K37/7000000</f>
        <v>9.3144285714285707E-3</v>
      </c>
    </row>
    <row r="41" spans="3:16">
      <c r="C41" s="75"/>
    </row>
    <row r="42" spans="3:16">
      <c r="C42" s="75"/>
    </row>
    <row r="43" spans="3:16">
      <c r="C43" s="75"/>
    </row>
    <row r="44" spans="3:16" ht="15" customHeight="1">
      <c r="C44" s="75"/>
      <c r="D44" s="97" t="s">
        <v>83</v>
      </c>
      <c r="E44" s="97"/>
      <c r="F44" s="97"/>
      <c r="G44" s="97"/>
      <c r="H44" s="97"/>
      <c r="I44" s="97"/>
      <c r="J44" s="97"/>
      <c r="K44" s="97"/>
      <c r="L44" s="97"/>
      <c r="M44" s="97"/>
      <c r="N44" s="75" t="s">
        <v>84</v>
      </c>
      <c r="O44" s="75"/>
      <c r="P44" s="75"/>
    </row>
    <row r="45" spans="3:16" ht="75">
      <c r="C45" s="75"/>
      <c r="D45" s="57" t="s">
        <v>42</v>
      </c>
      <c r="E45" s="7" t="s">
        <v>43</v>
      </c>
      <c r="F45" s="63" t="s">
        <v>44</v>
      </c>
      <c r="G45" s="63" t="s">
        <v>45</v>
      </c>
      <c r="H45" s="59" t="s">
        <v>46</v>
      </c>
      <c r="I45" s="59" t="s">
        <v>47</v>
      </c>
      <c r="J45" s="59" t="s">
        <v>48</v>
      </c>
      <c r="K45" s="2" t="s">
        <v>49</v>
      </c>
      <c r="L45" s="16" t="s">
        <v>51</v>
      </c>
      <c r="M45" s="43" t="s">
        <v>52</v>
      </c>
      <c r="N45" s="75"/>
      <c r="O45" s="75"/>
      <c r="P45" s="75"/>
    </row>
    <row r="46" spans="3:16">
      <c r="C46" s="75"/>
      <c r="D46" s="57">
        <v>100</v>
      </c>
      <c r="E46" s="7">
        <f>'Annexe-ACPR'!P6</f>
        <v>0.34</v>
      </c>
      <c r="F46" s="63">
        <v>0.105</v>
      </c>
      <c r="G46" s="63">
        <f>F46*E46*D46</f>
        <v>3.5700000000000003</v>
      </c>
      <c r="H46" s="13">
        <v>6.3E-2</v>
      </c>
      <c r="I46" s="13">
        <f>H46/'Feuille de calcul'!$B$6</f>
        <v>0.33157894736842103</v>
      </c>
      <c r="J46" s="4">
        <f>1+I46</f>
        <v>1.331578947368421</v>
      </c>
      <c r="K46" s="11">
        <f>I46*G46</f>
        <v>1.1837368421052632</v>
      </c>
      <c r="L46" s="42">
        <f>D46*'Annexe-ACPR'!$K$40</f>
        <v>0.93144285714285702</v>
      </c>
      <c r="M46" s="44">
        <f>(K46+L46)/D46</f>
        <v>2.1151796992481202E-2</v>
      </c>
      <c r="N46" s="75"/>
      <c r="O46" s="75"/>
      <c r="P46" s="75"/>
    </row>
    <row r="47" spans="3:16">
      <c r="C47" s="75"/>
      <c r="D47" s="57">
        <v>7011</v>
      </c>
      <c r="E47" s="7">
        <f>'Annexe-ACPR'!P6</f>
        <v>0.34</v>
      </c>
      <c r="F47" s="63">
        <v>0.105</v>
      </c>
      <c r="G47" s="55">
        <f>F47*E47*D47</f>
        <v>250.29270000000002</v>
      </c>
      <c r="H47" s="54">
        <v>6.3E-2</v>
      </c>
      <c r="I47" s="13">
        <f>H47/'Feuille de calcul'!$B$6</f>
        <v>0.33157894736842103</v>
      </c>
      <c r="J47" s="4">
        <f>1+I47</f>
        <v>1.331578947368421</v>
      </c>
      <c r="K47" s="11">
        <f>I47*G47</f>
        <v>82.991790000000009</v>
      </c>
      <c r="L47" s="42">
        <f>D47*'Annexe-ACPR'!$K$40</f>
        <v>65.303458714285711</v>
      </c>
    </row>
    <row r="49" spans="3:14">
      <c r="C49" s="75" t="s">
        <v>85</v>
      </c>
      <c r="D49" s="99" t="s">
        <v>70</v>
      </c>
      <c r="E49" s="99"/>
      <c r="F49" s="99"/>
      <c r="G49" s="99"/>
      <c r="H49" s="99"/>
      <c r="I49" s="99"/>
      <c r="J49" s="99"/>
      <c r="K49" s="99"/>
    </row>
    <row r="50" spans="3:14">
      <c r="C50" s="75"/>
      <c r="D50" s="10" t="s">
        <v>71</v>
      </c>
      <c r="E50" s="10" t="s">
        <v>72</v>
      </c>
      <c r="F50" s="10" t="s">
        <v>73</v>
      </c>
      <c r="G50" s="10" t="s">
        <v>74</v>
      </c>
      <c r="H50" s="10" t="s">
        <v>75</v>
      </c>
      <c r="I50" s="46" t="s">
        <v>76</v>
      </c>
      <c r="J50" s="10" t="s">
        <v>86</v>
      </c>
      <c r="K50" s="14" t="s">
        <v>87</v>
      </c>
      <c r="L50" s="10" t="s">
        <v>78</v>
      </c>
    </row>
    <row r="51" spans="3:14">
      <c r="C51" s="75"/>
      <c r="D51" s="10" t="s">
        <v>88</v>
      </c>
      <c r="E51">
        <v>5458</v>
      </c>
      <c r="F51">
        <v>3946</v>
      </c>
      <c r="G51">
        <v>3737</v>
      </c>
      <c r="H51" s="10">
        <v>8583</v>
      </c>
      <c r="I51" s="24">
        <v>785</v>
      </c>
      <c r="J51">
        <v>1468</v>
      </c>
      <c r="K51">
        <v>3858</v>
      </c>
      <c r="L51" s="3">
        <f>SUM(E51:K51)</f>
        <v>27835</v>
      </c>
    </row>
    <row r="52" spans="3:14">
      <c r="C52" s="75"/>
      <c r="D52" s="10" t="s">
        <v>89</v>
      </c>
      <c r="E52" s="10">
        <v>4844</v>
      </c>
      <c r="F52">
        <v>3248</v>
      </c>
      <c r="G52" s="27">
        <v>3030</v>
      </c>
      <c r="H52">
        <v>8173</v>
      </c>
      <c r="I52" s="46">
        <v>780</v>
      </c>
      <c r="J52" s="14">
        <v>1457</v>
      </c>
      <c r="K52" s="14">
        <v>3775</v>
      </c>
      <c r="L52" s="51">
        <f>SUM(E52:K52)</f>
        <v>25307</v>
      </c>
      <c r="M52" s="24"/>
    </row>
    <row r="53" spans="3:14">
      <c r="C53" s="75"/>
      <c r="D53" s="10" t="s">
        <v>90</v>
      </c>
      <c r="E53" s="10">
        <v>70843</v>
      </c>
      <c r="F53" s="10">
        <v>68570</v>
      </c>
      <c r="G53" s="10">
        <v>77341</v>
      </c>
      <c r="H53" s="10">
        <v>111845</v>
      </c>
      <c r="I53" s="46">
        <v>11782</v>
      </c>
      <c r="J53" s="46">
        <v>15663</v>
      </c>
      <c r="K53" s="14">
        <v>59700</v>
      </c>
      <c r="L53" s="51">
        <f>SUM(E53:K53)</f>
        <v>415744</v>
      </c>
      <c r="M53" s="24"/>
    </row>
    <row r="54" spans="3:14">
      <c r="C54" s="75"/>
      <c r="D54" s="10"/>
      <c r="E54" s="50">
        <f t="shared" ref="E54:K54" si="1">E52/E53</f>
        <v>6.8376550964809504E-2</v>
      </c>
      <c r="F54" s="50">
        <f t="shared" si="1"/>
        <v>4.7367653492781096E-2</v>
      </c>
      <c r="G54" s="50">
        <f t="shared" si="1"/>
        <v>3.9177150541110151E-2</v>
      </c>
      <c r="H54" s="50">
        <f t="shared" si="1"/>
        <v>7.3074343958156374E-2</v>
      </c>
      <c r="I54" s="50">
        <f t="shared" si="1"/>
        <v>6.6202682057375659E-2</v>
      </c>
      <c r="J54" s="50">
        <f t="shared" si="1"/>
        <v>9.3021771052799587E-2</v>
      </c>
      <c r="K54" s="50">
        <f t="shared" si="1"/>
        <v>6.3232830820770525E-2</v>
      </c>
      <c r="L54" s="58">
        <f>L52/L53</f>
        <v>6.0871594057881777E-2</v>
      </c>
      <c r="M54" s="53"/>
      <c r="N54" s="52"/>
    </row>
  </sheetData>
  <mergeCells count="9">
    <mergeCell ref="D1:K2"/>
    <mergeCell ref="D44:M44"/>
    <mergeCell ref="C49:C54"/>
    <mergeCell ref="N44:P46"/>
    <mergeCell ref="D34:K34"/>
    <mergeCell ref="D40:J40"/>
    <mergeCell ref="D39:K39"/>
    <mergeCell ref="C34:C47"/>
    <mergeCell ref="D49:K49"/>
  </mergeCells>
  <hyperlinks>
    <hyperlink ref="D1:K2" r:id="rId1" display="Les données de cette feuille sont extraites du rapport ACPR &quot;la situation des grands groupes bancaires français fin 2019&quot;" xr:uid="{9AF97D5E-B3EF-4163-B130-D593FBC25CAD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565D2027CB5C43B896265DB26BF053" ma:contentTypeVersion="15" ma:contentTypeDescription="Crée un document." ma:contentTypeScope="" ma:versionID="df6b7b0b04c05a1cd557d980648ebe59">
  <xsd:schema xmlns:xsd="http://www.w3.org/2001/XMLSchema" xmlns:xs="http://www.w3.org/2001/XMLSchema" xmlns:p="http://schemas.microsoft.com/office/2006/metadata/properties" xmlns:ns1="http://schemas.microsoft.com/sharepoint/v3" xmlns:ns2="6d25fa36-6e92-4a8c-bcd7-8d2e2e5dc1cc" xmlns:ns3="2a193445-8f29-4d28-b3a3-ce6182a987ad" targetNamespace="http://schemas.microsoft.com/office/2006/metadata/properties" ma:root="true" ma:fieldsID="c33d7f6f1bb9144500a5bc6e265ecd3b" ns1:_="" ns2:_="" ns3:_="">
    <xsd:import namespace="http://schemas.microsoft.com/sharepoint/v3"/>
    <xsd:import namespace="6d25fa36-6e92-4a8c-bcd7-8d2e2e5dc1cc"/>
    <xsd:import namespace="2a193445-8f29-4d28-b3a3-ce6182a987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25fa36-6e92-4a8c-bcd7-8d2e2e5dc1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193445-8f29-4d28-b3a3-ce6182a987a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6BBE569-3317-43B1-AA1B-AF3CEBA43324}"/>
</file>

<file path=customXml/itemProps2.xml><?xml version="1.0" encoding="utf-8"?>
<ds:datastoreItem xmlns:ds="http://schemas.openxmlformats.org/officeDocument/2006/customXml" ds:itemID="{7E49A537-0E07-4462-A4E6-12597ED1B538}"/>
</file>

<file path=customXml/itemProps3.xml><?xml version="1.0" encoding="utf-8"?>
<ds:datastoreItem xmlns:ds="http://schemas.openxmlformats.org/officeDocument/2006/customXml" ds:itemID="{03493BEC-D714-496F-8A58-D9260FEAA3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Benjamin CHAMBERLIN</dc:creator>
  <cp:keywords/>
  <dc:description/>
  <cp:lastModifiedBy>Julie EVAIN</cp:lastModifiedBy>
  <cp:revision/>
  <dcterms:created xsi:type="dcterms:W3CDTF">2021-04-01T09:03:41Z</dcterms:created>
  <dcterms:modified xsi:type="dcterms:W3CDTF">2021-08-02T13:16:04Z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0x01010043565D2027CB5C43B896265DB26BF053</vt:lpwstr>
  </property>
</Properties>
</file>