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Ex1.xml" ContentType="application/vnd.ms-office.chartex+xml"/>
  <Override PartName="/xl/charts/style10.xml" ContentType="application/vnd.ms-office.chartstyle+xml"/>
  <Override PartName="/xl/charts/colors10.xml" ContentType="application/vnd.ms-office.chartcolorstyle+xml"/>
  <Override PartName="/xl/charts/chartEx2.xml" ContentType="application/vnd.ms-office.chartex+xml"/>
  <Override PartName="/xl/charts/style11.xml" ContentType="application/vnd.ms-office.chartstyle+xml"/>
  <Override PartName="/xl/charts/colors11.xml" ContentType="application/vnd.ms-office.chartcolorstyle+xml"/>
  <Override PartName="/xl/charts/chartEx3.xml" ContentType="application/vnd.ms-office.chartex+xml"/>
  <Override PartName="/xl/charts/style12.xml" ContentType="application/vnd.ms-office.chartstyle+xml"/>
  <Override PartName="/xl/charts/colors12.xml" ContentType="application/vnd.ms-office.chartcolorstyle+xml"/>
  <Override PartName="/xl/charts/chartEx4.xml" ContentType="application/vnd.ms-office.chartex+xml"/>
  <Override PartName="/xl/charts/style13.xml" ContentType="application/vnd.ms-office.chartstyle+xml"/>
  <Override PartName="/xl/charts/colors13.xml" ContentType="application/vnd.ms-office.chartcolorstyle+xml"/>
  <Override PartName="/xl/charts/chartEx5.xml" ContentType="application/vnd.ms-office.chartex+xml"/>
  <Override PartName="/xl/charts/style14.xml" ContentType="application/vnd.ms-office.chartstyle+xml"/>
  <Override PartName="/xl/charts/colors14.xml" ContentType="application/vnd.ms-office.chartcolorstyle+xml"/>
  <Override PartName="/xl/charts/chartEx6.xml" ContentType="application/vnd.ms-office.chartex+xml"/>
  <Override PartName="/xl/charts/style15.xml" ContentType="application/vnd.ms-office.chartstyle+xml"/>
  <Override PartName="/xl/charts/colors15.xml" ContentType="application/vnd.ms-office.chartcolorstyle+xml"/>
  <Override PartName="/xl/charts/chartEx7.xml" ContentType="application/vnd.ms-office.chartex+xml"/>
  <Override PartName="/xl/charts/style16.xml" ContentType="application/vnd.ms-office.chartstyle+xml"/>
  <Override PartName="/xl/charts/colors16.xml" ContentType="application/vnd.ms-office.chartcolorstyle+xml"/>
  <Override PartName="/xl/charts/chartEx8.xml" ContentType="application/vnd.ms-office.chartex+xml"/>
  <Override PartName="/xl/charts/style17.xml" ContentType="application/vnd.ms-office.chartstyle+xml"/>
  <Override PartName="/xl/charts/colors17.xml" ContentType="application/vnd.ms-office.chartcolorstyle+xml"/>
  <Override PartName="/xl/charts/chart10.xml" ContentType="application/vnd.openxmlformats-officedocument.drawingml.chart+xml"/>
  <Override PartName="/xl/charts/style18.xml" ContentType="application/vnd.ms-office.chartstyle+xml"/>
  <Override PartName="/xl/charts/colors18.xml" ContentType="application/vnd.ms-office.chartcolorstyle+xml"/>
  <Override PartName="/xl/charts/chartEx9.xml" ContentType="application/vnd.ms-office.chartex+xml"/>
  <Override PartName="/xl/charts/style19.xml" ContentType="application/vnd.ms-office.chartstyle+xml"/>
  <Override PartName="/xl/charts/colors19.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mc:AlternateContent xmlns:mc="http://schemas.openxmlformats.org/markup-compatibility/2006">
    <mc:Choice Requires="x15">
      <x15ac:absPath xmlns:x15ac="http://schemas.microsoft.com/office/spreadsheetml/2010/11/ac" url="https://i4ce.sharepoint.com/Documents partages/04 - Communication/07 - Publications/2025/Publications/Revue des dépenses défavorables au climat des collectivités locales/"/>
    </mc:Choice>
  </mc:AlternateContent>
  <xr:revisionPtr revIDLastSave="2" documentId="8_{6864EC3B-9FE0-4412-9995-83D62D6B640B}" xr6:coauthVersionLast="47" xr6:coauthVersionMax="47" xr10:uidLastSave="{1B1BE9D4-5291-4385-A217-74EFAD104FD9}"/>
  <bookViews>
    <workbookView xWindow="-110" yWindow="-110" windowWidth="19420" windowHeight="11500" firstSheet="11" activeTab="16" xr2:uid="{270AB7C2-DA56-4B1F-9FD7-80BC48FD42E5}"/>
  </bookViews>
  <sheets>
    <sheet name="A LIRE " sheetId="31" r:id="rId1"/>
    <sheet name="Périmètres" sheetId="11" r:id="rId2"/>
    <sheet name="Synthèse" sheetId="5" r:id="rId3"/>
    <sheet name="axPOP" sheetId="30" r:id="rId4"/>
    <sheet name="CT_RENO" sheetId="1" r:id="rId5"/>
    <sheet name="DEP_ENER" sheetId="20" r:id="rId6"/>
    <sheet name="axENER" sheetId="28" r:id="rId7"/>
    <sheet name="axDEP_ENER" sheetId="17" r:id="rId8"/>
    <sheet name="TER_NEUF" sheetId="2" r:id="rId9"/>
    <sheet name="VP" sheetId="3" r:id="rId10"/>
    <sheet name="VUL" sheetId="4" r:id="rId11"/>
    <sheet name="BUSCAR" sheetId="7" r:id="rId12"/>
    <sheet name="MR_FER" sheetId="10" r:id="rId13"/>
    <sheet name="ROUTES" sheetId="9" r:id="rId14"/>
    <sheet name="AxAERO" sheetId="8" r:id="rId15"/>
    <sheet name="RESTAUCO" sheetId="12" r:id="rId16"/>
    <sheet name="MAT_INFO" sheetId="21" r:id="rId17"/>
  </sheets>
  <definedNames>
    <definedName name="_xlchart.v1.0" hidden="1">axENER!$C$431</definedName>
    <definedName name="_xlchart.v1.1" hidden="1">axENER!$D$430:$H$430</definedName>
    <definedName name="_xlchart.v1.10" hidden="1">axENER!$L$430:$P$430</definedName>
    <definedName name="_xlchart.v1.11" hidden="1">axENER!$L$433:$P$433</definedName>
    <definedName name="_xlchart.v1.12" hidden="1">axENER!$K$434</definedName>
    <definedName name="_xlchart.v1.13" hidden="1">axENER!$L$430:$P$430</definedName>
    <definedName name="_xlchart.v1.14" hidden="1">axENER!$L$434:$P$434</definedName>
    <definedName name="_xlchart.v1.15" hidden="1">axENER!$C$434</definedName>
    <definedName name="_xlchart.v1.16" hidden="1">axENER!$D$430:$H$430</definedName>
    <definedName name="_xlchart.v1.17" hidden="1">axENER!$D$434:$H$434</definedName>
    <definedName name="_xlchart.v1.18" hidden="1">axENER!$C$432</definedName>
    <definedName name="_xlchart.v1.19" hidden="1">axENER!$D$430:$H$430</definedName>
    <definedName name="_xlchart.v1.2" hidden="1">axENER!$D$431:$H$431</definedName>
    <definedName name="_xlchart.v1.20" hidden="1">axENER!$D$432:$H$432</definedName>
    <definedName name="_xlchart.v1.21" hidden="1">axENER!$K$432</definedName>
    <definedName name="_xlchart.v1.22" hidden="1">axENER!$L$430:$P$430</definedName>
    <definedName name="_xlchart.v1.23" hidden="1">axENER!$L$432:$P$432</definedName>
    <definedName name="_xlchart.v1.24" hidden="1">axENER!$C$416:$F$416</definedName>
    <definedName name="_xlchart.v1.25" hidden="1">axENER!$G$415:$L$415</definedName>
    <definedName name="_xlchart.v1.26" hidden="1">axENER!$G$416:$L$416</definedName>
    <definedName name="_xlchart.v1.3" hidden="1">axENER!$K$431</definedName>
    <definedName name="_xlchart.v1.4" hidden="1">axENER!$L$430:$P$430</definedName>
    <definedName name="_xlchart.v1.5" hidden="1">axENER!$L$431:$P$431</definedName>
    <definedName name="_xlchart.v1.6" hidden="1">axENER!$C$433</definedName>
    <definedName name="_xlchart.v1.7" hidden="1">axENER!$D$430:$H$430</definedName>
    <definedName name="_xlchart.v1.8" hidden="1">axENER!$D$433:$H$433</definedName>
    <definedName name="_xlchart.v1.9" hidden="1">axENER!$K$433</definedName>
    <definedName name="currentYear">#REF!</definedName>
    <definedName name="DonnéesExternes_1" localSheetId="4" hidden="1">CT_RENO!#REF!</definedName>
    <definedName name="_xlnm.Print_Area" localSheetId="1">Périmètres!$D$31:$J$74</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98  Page 143_2bd784fc-196b-4c91-bed4-f07cc3379b97" name="Table098  Page 143" connection="Requête - Table098 (Page 143)"/>
          <x15:modelTable id="Table099  Page 144_8878badc-18bb-4362-bb7d-e216c7f631bf" name="Table099  Page 144" connection="Requête - Table099 (Page 144)"/>
          <x15:modelTable id="Table084  Page 119_c17e6549-794b-44c7-ae5c-1b87a675dbd8" name="Table084  Page 119" connection="Requête - Table084 (Page 119)"/>
          <x15:modelTable id="Table085  Page 120_48b4c613-ee12-4386-9fe6-73447c6badc5" name="Table085  Page 120" connection="Requête - Table085 (Page 120)"/>
          <x15:modelTable id="Table086  Page 121_2f7a665c-0263-4a3c-b5ea-9a580c05c277" name="Table086  Page 121" connection="Requête - Table086 (Page 121)"/>
          <x15:modelTable id="Table074  Page 91_0db58ef2-2f39-4e05-8b25-c0996e06f60e" name="Table074  Page 91" connection="Requête - Table074 (Page 91)"/>
          <x15:modelTable id="Table073  Page 91_cf0f0a6e-6809-4a46-aed2-ca6e4f94003e" name="Table073  Page 91" connection="Requête - Table073 (Page 91)"/>
          <x15:modelTable id="Table075  Page 92_2102ffcd-1889-445e-a580-99af121b2af6" name="Table075  Page 92" connection="Requête - Table075 (Page 9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60" i="28" l="1"/>
  <c r="S71" i="2" l="1"/>
  <c r="T70" i="1"/>
  <c r="H111" i="10" l="1"/>
  <c r="H109" i="10"/>
  <c r="H110" i="10"/>
  <c r="H68" i="10"/>
  <c r="T11" i="5" l="1"/>
  <c r="S11" i="5"/>
  <c r="F238" i="5"/>
  <c r="E238" i="5"/>
  <c r="F231" i="5"/>
  <c r="E231" i="5"/>
  <c r="R195" i="5" l="1"/>
  <c r="R192" i="5"/>
  <c r="R33" i="28"/>
  <c r="G167" i="28"/>
  <c r="S198" i="5" l="1"/>
  <c r="I405" i="28"/>
  <c r="I408" i="28" s="1"/>
  <c r="J405" i="28"/>
  <c r="J408" i="28" s="1"/>
  <c r="K405" i="28"/>
  <c r="K408" i="28" s="1"/>
  <c r="L405" i="28"/>
  <c r="L408" i="28" s="1"/>
  <c r="M405" i="28"/>
  <c r="M408" i="28" s="1"/>
  <c r="I416" i="28" s="1"/>
  <c r="N405" i="28"/>
  <c r="N408" i="28" s="1"/>
  <c r="O405" i="28"/>
  <c r="O408" i="28" s="1"/>
  <c r="P405" i="28"/>
  <c r="P408" i="28" s="1"/>
  <c r="Q405" i="28"/>
  <c r="Q408" i="28" s="1"/>
  <c r="R405" i="28"/>
  <c r="H416" i="28" s="1"/>
  <c r="S405" i="28"/>
  <c r="H405" i="28"/>
  <c r="H408" i="28" s="1"/>
  <c r="S408" i="28" l="1"/>
  <c r="S411" i="28"/>
  <c r="S412" i="28" s="1"/>
  <c r="O411" i="28"/>
  <c r="O412" i="28" s="1"/>
  <c r="R411" i="28"/>
  <c r="R412" i="28" s="1"/>
  <c r="M411" i="28"/>
  <c r="M412" i="28" s="1"/>
  <c r="Q411" i="28"/>
  <c r="Q412" i="28" s="1"/>
  <c r="N411" i="28"/>
  <c r="N412" i="28" s="1"/>
  <c r="P411" i="28"/>
  <c r="P412" i="28" s="1"/>
  <c r="G416" i="28"/>
  <c r="L416" i="28"/>
  <c r="R408" i="28"/>
  <c r="J416" i="28" s="1"/>
  <c r="K416" i="28" s="1"/>
  <c r="T412" i="28" l="1"/>
  <c r="Q8" i="5"/>
  <c r="F102" i="5"/>
  <c r="F178" i="5"/>
  <c r="G178" i="5"/>
  <c r="H178" i="5"/>
  <c r="I178" i="5"/>
  <c r="J178" i="5"/>
  <c r="K178" i="5"/>
  <c r="L178" i="5"/>
  <c r="M178" i="5"/>
  <c r="N178" i="5"/>
  <c r="O178" i="5"/>
  <c r="P178" i="5"/>
  <c r="Q178" i="5"/>
  <c r="E178" i="5"/>
  <c r="F177" i="5"/>
  <c r="G177" i="5"/>
  <c r="H177" i="5"/>
  <c r="I177" i="5"/>
  <c r="J177" i="5"/>
  <c r="K177" i="5"/>
  <c r="L177" i="5"/>
  <c r="M177" i="5"/>
  <c r="N177" i="5"/>
  <c r="O177" i="5"/>
  <c r="P177" i="5"/>
  <c r="Q177" i="5"/>
  <c r="E177" i="5"/>
  <c r="F165" i="5"/>
  <c r="G165" i="5"/>
  <c r="H165" i="5"/>
  <c r="I165" i="5"/>
  <c r="J165" i="5"/>
  <c r="K165" i="5"/>
  <c r="L165" i="5"/>
  <c r="M165" i="5"/>
  <c r="N165" i="5"/>
  <c r="O165" i="5"/>
  <c r="P165" i="5"/>
  <c r="Q165" i="5"/>
  <c r="E165" i="5"/>
  <c r="F99" i="5" l="1"/>
  <c r="R178" i="5"/>
  <c r="S165" i="5"/>
  <c r="T165" i="5"/>
  <c r="I206" i="20"/>
  <c r="I207" i="20" s="1"/>
  <c r="I79" i="20"/>
  <c r="E29" i="5" s="1"/>
  <c r="E181" i="5" s="1"/>
  <c r="E13" i="5"/>
  <c r="E167" i="5" s="1"/>
  <c r="M326" i="28"/>
  <c r="R168" i="20"/>
  <c r="R198" i="20" s="1"/>
  <c r="K168" i="20"/>
  <c r="J168" i="20"/>
  <c r="I168" i="20"/>
  <c r="I198" i="20" s="1"/>
  <c r="O160" i="28"/>
  <c r="M182" i="28"/>
  <c r="M141" i="28"/>
  <c r="M353" i="28" s="1"/>
  <c r="M378" i="28"/>
  <c r="M374" i="28"/>
  <c r="M370" i="28"/>
  <c r="M366" i="28"/>
  <c r="M377" i="28"/>
  <c r="M373" i="28"/>
  <c r="M369" i="28"/>
  <c r="M365" i="28"/>
  <c r="M362" i="28"/>
  <c r="M361" i="28"/>
  <c r="M347" i="28"/>
  <c r="M348" i="28"/>
  <c r="M342" i="28"/>
  <c r="M343" i="28"/>
  <c r="M337" i="28"/>
  <c r="M338" i="28"/>
  <c r="M346" i="28"/>
  <c r="M341" i="28"/>
  <c r="M336" i="28"/>
  <c r="M332" i="28"/>
  <c r="M333" i="28"/>
  <c r="M331" i="28"/>
  <c r="M327" i="28"/>
  <c r="M328" i="28"/>
  <c r="N150" i="20"/>
  <c r="M389" i="28" l="1"/>
  <c r="I110" i="2"/>
  <c r="F28" i="5" s="1"/>
  <c r="J110" i="2"/>
  <c r="G28" i="5" s="1"/>
  <c r="K110" i="2"/>
  <c r="H28" i="5" s="1"/>
  <c r="L110" i="2"/>
  <c r="I28" i="5" s="1"/>
  <c r="M110" i="2"/>
  <c r="J28" i="5" s="1"/>
  <c r="N110" i="2"/>
  <c r="K28" i="5" s="1"/>
  <c r="O110" i="2"/>
  <c r="L28" i="5" s="1"/>
  <c r="P110" i="2"/>
  <c r="M28" i="5" s="1"/>
  <c r="Q110" i="2"/>
  <c r="N28" i="5" s="1"/>
  <c r="R110" i="2"/>
  <c r="O28" i="5" s="1"/>
  <c r="S110" i="2"/>
  <c r="P28" i="5" s="1"/>
  <c r="T110" i="2"/>
  <c r="Q28" i="5" s="1"/>
  <c r="E97" i="5" s="1"/>
  <c r="H110" i="2"/>
  <c r="E28" i="5" s="1"/>
  <c r="T65" i="12"/>
  <c r="E202" i="5" l="1"/>
  <c r="F202" i="5"/>
  <c r="G202" i="5"/>
  <c r="H202" i="5"/>
  <c r="I202" i="5"/>
  <c r="J202" i="5"/>
  <c r="K202" i="5"/>
  <c r="L202" i="5"/>
  <c r="M202" i="5"/>
  <c r="N202" i="5"/>
  <c r="O202" i="5"/>
  <c r="P202" i="5"/>
  <c r="Q202" i="5"/>
  <c r="E206" i="5"/>
  <c r="F206" i="5"/>
  <c r="F209" i="5" s="1"/>
  <c r="G206" i="5"/>
  <c r="G209" i="5" s="1"/>
  <c r="H206" i="5"/>
  <c r="H209" i="5" s="1"/>
  <c r="I206" i="5"/>
  <c r="I209" i="5" s="1"/>
  <c r="J206" i="5"/>
  <c r="J209" i="5" s="1"/>
  <c r="K206" i="5"/>
  <c r="K209" i="5" s="1"/>
  <c r="L206" i="5"/>
  <c r="L209" i="5" s="1"/>
  <c r="M206" i="5"/>
  <c r="M209" i="5" s="1"/>
  <c r="N206" i="5"/>
  <c r="N209" i="5" s="1"/>
  <c r="O206" i="5"/>
  <c r="O209" i="5" s="1"/>
  <c r="P206" i="5"/>
  <c r="P209" i="5" s="1"/>
  <c r="Q206" i="5"/>
  <c r="Q209" i="5" s="1"/>
  <c r="S142" i="5"/>
  <c r="K214" i="5" l="1"/>
  <c r="S191" i="5"/>
  <c r="O214" i="5"/>
  <c r="P214" i="5"/>
  <c r="L214" i="5"/>
  <c r="N214" i="5"/>
  <c r="Q214" i="5"/>
  <c r="M214" i="5"/>
  <c r="T209" i="5"/>
  <c r="E209" i="5"/>
  <c r="S209" i="5" s="1"/>
  <c r="O44" i="10" l="1"/>
  <c r="N44" i="10"/>
  <c r="M44" i="10"/>
  <c r="T40" i="10"/>
  <c r="S40" i="10"/>
  <c r="R40" i="10"/>
  <c r="Q40" i="10"/>
  <c r="P40" i="10"/>
  <c r="O40" i="10"/>
  <c r="N40" i="10"/>
  <c r="M40" i="10"/>
  <c r="L40" i="10"/>
  <c r="K40" i="10"/>
  <c r="J40" i="10"/>
  <c r="I40" i="10"/>
  <c r="T30" i="10"/>
  <c r="I68" i="10"/>
  <c r="I69" i="10" s="1"/>
  <c r="J68" i="10"/>
  <c r="K68" i="10"/>
  <c r="L68" i="10"/>
  <c r="L85" i="10" s="1"/>
  <c r="M68" i="10"/>
  <c r="N68" i="10"/>
  <c r="O68" i="10"/>
  <c r="O69" i="10" s="1"/>
  <c r="P68" i="10"/>
  <c r="Q68" i="10"/>
  <c r="R68" i="10"/>
  <c r="S68" i="10"/>
  <c r="T68" i="10"/>
  <c r="Q35" i="5" l="1"/>
  <c r="Q187" i="5" s="1"/>
  <c r="T69" i="10"/>
  <c r="I35" i="5"/>
  <c r="I187" i="5" s="1"/>
  <c r="L69" i="10"/>
  <c r="L35" i="5"/>
  <c r="L187" i="5" s="1"/>
  <c r="O35" i="5"/>
  <c r="O187" i="5" s="1"/>
  <c r="R69" i="10"/>
  <c r="K35" i="5"/>
  <c r="K187" i="5" s="1"/>
  <c r="N69" i="10"/>
  <c r="G35" i="5"/>
  <c r="G187" i="5" s="1"/>
  <c r="J69" i="10"/>
  <c r="M35" i="5"/>
  <c r="M187" i="5" s="1"/>
  <c r="P69" i="10"/>
  <c r="P35" i="5"/>
  <c r="P187" i="5" s="1"/>
  <c r="S69" i="10"/>
  <c r="H35" i="5"/>
  <c r="H187" i="5" s="1"/>
  <c r="K69" i="10"/>
  <c r="E35" i="5"/>
  <c r="H69" i="10"/>
  <c r="H85" i="10"/>
  <c r="N35" i="5"/>
  <c r="N187" i="5" s="1"/>
  <c r="Q69" i="10"/>
  <c r="J35" i="5"/>
  <c r="J187" i="5" s="1"/>
  <c r="M69" i="10"/>
  <c r="F35" i="5"/>
  <c r="F187" i="5" s="1"/>
  <c r="R85" i="10"/>
  <c r="N85" i="10"/>
  <c r="P85" i="10"/>
  <c r="I91" i="10" s="1"/>
  <c r="I97" i="10" s="1"/>
  <c r="T85" i="10"/>
  <c r="S85" i="10"/>
  <c r="O85" i="10"/>
  <c r="H91" i="10" s="1"/>
  <c r="H97" i="10" s="1"/>
  <c r="K85" i="10"/>
  <c r="J85" i="10"/>
  <c r="Q85" i="10"/>
  <c r="M85" i="10"/>
  <c r="I85" i="10"/>
  <c r="J97" i="10" l="1"/>
  <c r="S105" i="10" s="1"/>
  <c r="S106" i="10" s="1"/>
  <c r="E67" i="5"/>
  <c r="E187" i="5"/>
  <c r="S187" i="5" s="1"/>
  <c r="T187" i="5"/>
  <c r="E103" i="5"/>
  <c r="I98" i="10"/>
  <c r="H98" i="10"/>
  <c r="H86" i="10"/>
  <c r="K105" i="10" l="1"/>
  <c r="K106" i="10" s="1"/>
  <c r="H13" i="5" s="1"/>
  <c r="O105" i="10"/>
  <c r="O106" i="10" s="1"/>
  <c r="L13" i="5" s="1"/>
  <c r="P13" i="5"/>
  <c r="M105" i="10"/>
  <c r="M106" i="10" s="1"/>
  <c r="J13" i="5" s="1"/>
  <c r="Q105" i="10"/>
  <c r="Q106" i="10" s="1"/>
  <c r="N13" i="5" s="1"/>
  <c r="I105" i="10"/>
  <c r="I106" i="10" s="1"/>
  <c r="N105" i="10"/>
  <c r="N106" i="10" s="1"/>
  <c r="L105" i="10"/>
  <c r="L106" i="10" s="1"/>
  <c r="I13" i="5" s="1"/>
  <c r="P105" i="10"/>
  <c r="P106" i="10" s="1"/>
  <c r="M13" i="5" s="1"/>
  <c r="T105" i="10"/>
  <c r="T106" i="10" s="1"/>
  <c r="Q13" i="5" s="1"/>
  <c r="J105" i="10"/>
  <c r="J106" i="10" s="1"/>
  <c r="G13" i="5" s="1"/>
  <c r="R105" i="10"/>
  <c r="R106" i="10" s="1"/>
  <c r="O13" i="5" s="1"/>
  <c r="J98" i="10"/>
  <c r="K13" i="5" l="1"/>
  <c r="F13" i="5"/>
  <c r="S13" i="5"/>
  <c r="T13" i="5"/>
  <c r="Q167" i="5"/>
  <c r="S167" i="5" s="1"/>
  <c r="F103" i="5"/>
  <c r="Q67" i="5"/>
  <c r="O67" i="5"/>
  <c r="O167" i="5"/>
  <c r="I67" i="5"/>
  <c r="I167" i="5"/>
  <c r="J67" i="5"/>
  <c r="J167" i="5"/>
  <c r="G67" i="5"/>
  <c r="G167" i="5"/>
  <c r="K67" i="5"/>
  <c r="K167" i="5"/>
  <c r="T167" i="5" s="1"/>
  <c r="P67" i="5"/>
  <c r="P167" i="5"/>
  <c r="F67" i="5"/>
  <c r="F167" i="5"/>
  <c r="L67" i="5"/>
  <c r="L167" i="5"/>
  <c r="M67" i="5"/>
  <c r="M167" i="5"/>
  <c r="N67" i="5"/>
  <c r="N167" i="5"/>
  <c r="H67" i="5"/>
  <c r="H167" i="5"/>
  <c r="G77" i="5"/>
  <c r="H77" i="5"/>
  <c r="I77" i="5"/>
  <c r="J77" i="5"/>
  <c r="K77" i="5"/>
  <c r="L77" i="5"/>
  <c r="M77" i="5"/>
  <c r="N77" i="5"/>
  <c r="O77" i="5"/>
  <c r="P77" i="5"/>
  <c r="Q77" i="5"/>
  <c r="F77" i="5"/>
  <c r="T66" i="12"/>
  <c r="G143" i="5"/>
  <c r="H143" i="5"/>
  <c r="I143" i="5"/>
  <c r="J143" i="5"/>
  <c r="K143" i="5"/>
  <c r="L143" i="5"/>
  <c r="M143" i="5"/>
  <c r="N143" i="5"/>
  <c r="O143" i="5"/>
  <c r="P143" i="5"/>
  <c r="Q143" i="5"/>
  <c r="F143" i="5"/>
  <c r="E96" i="5" l="1"/>
  <c r="G88" i="5"/>
  <c r="I88" i="5"/>
  <c r="J88" i="5"/>
  <c r="K88" i="5"/>
  <c r="M88" i="5"/>
  <c r="N88" i="5"/>
  <c r="Q88" i="5"/>
  <c r="F34" i="5"/>
  <c r="F186" i="5" s="1"/>
  <c r="G34" i="5"/>
  <c r="G186" i="5" s="1"/>
  <c r="H34" i="5"/>
  <c r="H186" i="5" s="1"/>
  <c r="I34" i="5"/>
  <c r="I186" i="5" s="1"/>
  <c r="J34" i="5"/>
  <c r="K34" i="5"/>
  <c r="K186" i="5" s="1"/>
  <c r="L34" i="5"/>
  <c r="L186" i="5" s="1"/>
  <c r="M34" i="5"/>
  <c r="M186" i="5" s="1"/>
  <c r="N34" i="5"/>
  <c r="O34" i="5"/>
  <c r="O186" i="5" s="1"/>
  <c r="P34" i="5"/>
  <c r="P186" i="5" s="1"/>
  <c r="Q34" i="5"/>
  <c r="E34" i="5"/>
  <c r="E186" i="5" s="1"/>
  <c r="F33" i="5"/>
  <c r="G33" i="5"/>
  <c r="H33" i="5"/>
  <c r="I33" i="5"/>
  <c r="J33" i="5"/>
  <c r="K33" i="5"/>
  <c r="L33" i="5"/>
  <c r="M33" i="5"/>
  <c r="M185" i="5" s="1"/>
  <c r="N33" i="5"/>
  <c r="O33" i="5"/>
  <c r="P33" i="5"/>
  <c r="Q33" i="5"/>
  <c r="E33" i="5"/>
  <c r="I83" i="7"/>
  <c r="J83" i="7"/>
  <c r="K83" i="7"/>
  <c r="L83" i="7"/>
  <c r="M83" i="7"/>
  <c r="N83" i="7"/>
  <c r="O83" i="7"/>
  <c r="P83" i="7"/>
  <c r="Q83" i="7"/>
  <c r="R83" i="7"/>
  <c r="S83" i="7"/>
  <c r="T83" i="7"/>
  <c r="U83" i="7"/>
  <c r="V83" i="7"/>
  <c r="I82" i="7"/>
  <c r="J82" i="7"/>
  <c r="K82" i="7"/>
  <c r="L82" i="7"/>
  <c r="M82" i="7"/>
  <c r="N82" i="7"/>
  <c r="N84" i="7" s="1"/>
  <c r="K32" i="5" s="1"/>
  <c r="K184" i="5" s="1"/>
  <c r="O82" i="7"/>
  <c r="P82" i="7"/>
  <c r="Q82" i="7"/>
  <c r="R82" i="7"/>
  <c r="R84" i="7" s="1"/>
  <c r="O32" i="5" s="1"/>
  <c r="O184" i="5" s="1"/>
  <c r="S82" i="7"/>
  <c r="T82" i="7"/>
  <c r="U82" i="7"/>
  <c r="V82" i="7"/>
  <c r="V84" i="7" s="1"/>
  <c r="H83" i="7"/>
  <c r="H82" i="7"/>
  <c r="J84" i="7" l="1"/>
  <c r="G32" i="5" s="1"/>
  <c r="G184" i="5" s="1"/>
  <c r="L84" i="7"/>
  <c r="I32" i="5" s="1"/>
  <c r="I184" i="5" s="1"/>
  <c r="T84" i="7"/>
  <c r="Q32" i="5" s="1"/>
  <c r="Q184" i="5" s="1"/>
  <c r="T184" i="5" s="1"/>
  <c r="U84" i="7"/>
  <c r="Q84" i="7"/>
  <c r="N32" i="5" s="1"/>
  <c r="N184" i="5" s="1"/>
  <c r="M84" i="7"/>
  <c r="J32" i="5" s="1"/>
  <c r="J184" i="5" s="1"/>
  <c r="I84" i="7"/>
  <c r="F32" i="5" s="1"/>
  <c r="F184" i="5" s="1"/>
  <c r="H84" i="7"/>
  <c r="E32" i="5" s="1"/>
  <c r="E184" i="5" s="1"/>
  <c r="P84" i="7"/>
  <c r="M32" i="5" s="1"/>
  <c r="M184" i="5" s="1"/>
  <c r="S84" i="7"/>
  <c r="P32" i="5" s="1"/>
  <c r="P184" i="5" s="1"/>
  <c r="O84" i="7"/>
  <c r="L32" i="5" s="1"/>
  <c r="K84" i="7"/>
  <c r="H32" i="5" s="1"/>
  <c r="H184" i="5" s="1"/>
  <c r="G65" i="5"/>
  <c r="G185" i="5"/>
  <c r="E65" i="5"/>
  <c r="E185" i="5"/>
  <c r="N65" i="5"/>
  <c r="N185" i="5"/>
  <c r="J65" i="5"/>
  <c r="J185" i="5"/>
  <c r="F65" i="5"/>
  <c r="F185" i="5"/>
  <c r="O65" i="5"/>
  <c r="O185" i="5"/>
  <c r="Q65" i="5"/>
  <c r="Q185" i="5"/>
  <c r="I65" i="5"/>
  <c r="I185" i="5"/>
  <c r="N87" i="5"/>
  <c r="N186" i="5"/>
  <c r="J87" i="5"/>
  <c r="J186" i="5"/>
  <c r="K65" i="5"/>
  <c r="K185" i="5"/>
  <c r="P65" i="5"/>
  <c r="P185" i="5"/>
  <c r="L65" i="5"/>
  <c r="L185" i="5"/>
  <c r="H65" i="5"/>
  <c r="H185" i="5"/>
  <c r="E104" i="5"/>
  <c r="Q186" i="5"/>
  <c r="M86" i="5"/>
  <c r="M65" i="5"/>
  <c r="I86" i="5"/>
  <c r="O86" i="5"/>
  <c r="K86" i="5"/>
  <c r="G86" i="5"/>
  <c r="P87" i="5"/>
  <c r="L87" i="5"/>
  <c r="H87" i="5"/>
  <c r="F87" i="5"/>
  <c r="O88" i="5"/>
  <c r="P86" i="5"/>
  <c r="L86" i="5"/>
  <c r="H86" i="5"/>
  <c r="Q87" i="5"/>
  <c r="M87" i="5"/>
  <c r="I87" i="5"/>
  <c r="F88" i="5"/>
  <c r="E102" i="5"/>
  <c r="Q86" i="5"/>
  <c r="E101" i="5"/>
  <c r="N86" i="5"/>
  <c r="J86" i="5"/>
  <c r="F86" i="5"/>
  <c r="O87" i="5"/>
  <c r="K87" i="5"/>
  <c r="G87" i="5"/>
  <c r="P88" i="5"/>
  <c r="L88" i="5"/>
  <c r="H88" i="5"/>
  <c r="S184" i="5" l="1"/>
  <c r="F85" i="5"/>
  <c r="O85" i="5"/>
  <c r="G85" i="5"/>
  <c r="N85" i="5"/>
  <c r="M85" i="5"/>
  <c r="K85" i="5"/>
  <c r="Q85" i="5"/>
  <c r="P85" i="5"/>
  <c r="J85" i="5"/>
  <c r="L85" i="5"/>
  <c r="H85" i="5"/>
  <c r="L184" i="5"/>
  <c r="I85" i="5"/>
  <c r="T186" i="5"/>
  <c r="S186" i="5"/>
  <c r="S185" i="5"/>
  <c r="T185" i="5"/>
  <c r="I30" i="4"/>
  <c r="F31" i="5" s="1"/>
  <c r="F183" i="5" s="1"/>
  <c r="J30" i="4"/>
  <c r="G31" i="5" s="1"/>
  <c r="G183" i="5" s="1"/>
  <c r="K30" i="4"/>
  <c r="H31" i="5" s="1"/>
  <c r="H183" i="5" s="1"/>
  <c r="L30" i="4"/>
  <c r="I31" i="5" s="1"/>
  <c r="M30" i="4"/>
  <c r="J31" i="5" s="1"/>
  <c r="J183" i="5" s="1"/>
  <c r="N30" i="4"/>
  <c r="K31" i="5" s="1"/>
  <c r="K183" i="5" s="1"/>
  <c r="O30" i="4"/>
  <c r="L31" i="5" s="1"/>
  <c r="L183" i="5" s="1"/>
  <c r="P30" i="4"/>
  <c r="M31" i="5" s="1"/>
  <c r="Q30" i="4"/>
  <c r="N31" i="5" s="1"/>
  <c r="N183" i="5" s="1"/>
  <c r="R30" i="4"/>
  <c r="O31" i="5" s="1"/>
  <c r="O183" i="5" s="1"/>
  <c r="S30" i="4"/>
  <c r="P31" i="5" s="1"/>
  <c r="P183" i="5" s="1"/>
  <c r="T30" i="4"/>
  <c r="Q31" i="5" s="1"/>
  <c r="Q183" i="5" s="1"/>
  <c r="U30" i="4"/>
  <c r="V30" i="4"/>
  <c r="H30" i="4"/>
  <c r="E31" i="5" s="1"/>
  <c r="E183" i="5" s="1"/>
  <c r="I57" i="3"/>
  <c r="F30" i="5" s="1"/>
  <c r="F182" i="5" s="1"/>
  <c r="J57" i="3"/>
  <c r="G30" i="5" s="1"/>
  <c r="G182" i="5" s="1"/>
  <c r="K57" i="3"/>
  <c r="H30" i="5" s="1"/>
  <c r="H182" i="5" s="1"/>
  <c r="L57" i="3"/>
  <c r="I30" i="5" s="1"/>
  <c r="M57" i="3"/>
  <c r="J30" i="5" s="1"/>
  <c r="J182" i="5" s="1"/>
  <c r="N57" i="3"/>
  <c r="K30" i="5" s="1"/>
  <c r="K182" i="5" s="1"/>
  <c r="O57" i="3"/>
  <c r="L30" i="5" s="1"/>
  <c r="L182" i="5" s="1"/>
  <c r="P57" i="3"/>
  <c r="M30" i="5" s="1"/>
  <c r="Q57" i="3"/>
  <c r="N30" i="5" s="1"/>
  <c r="N182" i="5" s="1"/>
  <c r="R57" i="3"/>
  <c r="O30" i="5" s="1"/>
  <c r="O182" i="5" s="1"/>
  <c r="S57" i="3"/>
  <c r="P30" i="5" s="1"/>
  <c r="P182" i="5" s="1"/>
  <c r="T57" i="3"/>
  <c r="Q30" i="5" s="1"/>
  <c r="Q182" i="5" s="1"/>
  <c r="U57" i="3"/>
  <c r="V57" i="3"/>
  <c r="H57" i="3"/>
  <c r="E30" i="5" s="1"/>
  <c r="E182" i="5" s="1"/>
  <c r="F27" i="5"/>
  <c r="F179" i="5" s="1"/>
  <c r="G27" i="5"/>
  <c r="G179" i="5" s="1"/>
  <c r="H27" i="5"/>
  <c r="H179" i="5" s="1"/>
  <c r="I27" i="5"/>
  <c r="I179" i="5" s="1"/>
  <c r="J27" i="5"/>
  <c r="J179" i="5" s="1"/>
  <c r="K27" i="5"/>
  <c r="K179" i="5" s="1"/>
  <c r="L27" i="5"/>
  <c r="L179" i="5" s="1"/>
  <c r="M27" i="5"/>
  <c r="M179" i="5" s="1"/>
  <c r="N27" i="5"/>
  <c r="N179" i="5" s="1"/>
  <c r="O27" i="5"/>
  <c r="O179" i="5" s="1"/>
  <c r="P27" i="5"/>
  <c r="P179" i="5" s="1"/>
  <c r="Q27" i="5"/>
  <c r="Q179" i="5" s="1"/>
  <c r="E27" i="5"/>
  <c r="E179" i="5" s="1"/>
  <c r="F9" i="5"/>
  <c r="G9" i="5"/>
  <c r="G163" i="5" s="1"/>
  <c r="H9" i="5"/>
  <c r="I9" i="5"/>
  <c r="I163" i="5" s="1"/>
  <c r="J9" i="5"/>
  <c r="K9" i="5"/>
  <c r="K163" i="5" s="1"/>
  <c r="L9" i="5"/>
  <c r="M9" i="5"/>
  <c r="M163" i="5" s="1"/>
  <c r="N9" i="5"/>
  <c r="O9" i="5"/>
  <c r="O163" i="5" s="1"/>
  <c r="P9" i="5"/>
  <c r="P163" i="5" s="1"/>
  <c r="Q9" i="5"/>
  <c r="E9" i="5"/>
  <c r="F8" i="5"/>
  <c r="F162" i="5" s="1"/>
  <c r="G8" i="5"/>
  <c r="G162" i="5" s="1"/>
  <c r="H8" i="5"/>
  <c r="H162" i="5" s="1"/>
  <c r="I8" i="5"/>
  <c r="I162" i="5" s="1"/>
  <c r="J8" i="5"/>
  <c r="J162" i="5" s="1"/>
  <c r="K8" i="5"/>
  <c r="L8" i="5"/>
  <c r="L162" i="5" s="1"/>
  <c r="M8" i="5"/>
  <c r="M162" i="5" s="1"/>
  <c r="N8" i="5"/>
  <c r="N162" i="5" s="1"/>
  <c r="O8" i="5"/>
  <c r="O162" i="5" s="1"/>
  <c r="P8" i="5"/>
  <c r="P162" i="5" s="1"/>
  <c r="Q162" i="5"/>
  <c r="E8" i="5"/>
  <c r="E5" i="5"/>
  <c r="E159" i="5" s="1"/>
  <c r="R65" i="12"/>
  <c r="S66" i="12"/>
  <c r="S65" i="12"/>
  <c r="R66" i="12"/>
  <c r="T9" i="5" l="1"/>
  <c r="S9" i="5"/>
  <c r="K162" i="5"/>
  <c r="T162" i="5" s="1"/>
  <c r="T8" i="5"/>
  <c r="E162" i="5"/>
  <c r="S162" i="5" s="1"/>
  <c r="S8" i="5"/>
  <c r="S179" i="5"/>
  <c r="T179" i="5"/>
  <c r="T182" i="5"/>
  <c r="S182" i="5"/>
  <c r="M83" i="5"/>
  <c r="M182" i="5"/>
  <c r="I83" i="5"/>
  <c r="I182" i="5"/>
  <c r="S183" i="5"/>
  <c r="T183" i="5"/>
  <c r="M84" i="5"/>
  <c r="M183" i="5"/>
  <c r="I84" i="5"/>
  <c r="I183" i="5"/>
  <c r="Q163" i="5"/>
  <c r="F100" i="5"/>
  <c r="H63" i="5"/>
  <c r="H163" i="5"/>
  <c r="E63" i="5"/>
  <c r="E163" i="5"/>
  <c r="N63" i="5"/>
  <c r="N163" i="5"/>
  <c r="J63" i="5"/>
  <c r="J163" i="5"/>
  <c r="F63" i="5"/>
  <c r="F163" i="5"/>
  <c r="L63" i="5"/>
  <c r="L163" i="5"/>
  <c r="P62" i="5"/>
  <c r="L62" i="5"/>
  <c r="H62" i="5"/>
  <c r="Q63" i="5"/>
  <c r="M63" i="5"/>
  <c r="Q62" i="5"/>
  <c r="M62" i="5"/>
  <c r="I62" i="5"/>
  <c r="I63" i="5"/>
  <c r="E59" i="5"/>
  <c r="O74" i="5"/>
  <c r="O62" i="5"/>
  <c r="K74" i="5"/>
  <c r="K62" i="5"/>
  <c r="G74" i="5"/>
  <c r="G62" i="5"/>
  <c r="P75" i="5"/>
  <c r="P63" i="5"/>
  <c r="E62" i="5"/>
  <c r="N62" i="5"/>
  <c r="J62" i="5"/>
  <c r="F62" i="5"/>
  <c r="O63" i="5"/>
  <c r="K63" i="5"/>
  <c r="G63" i="5"/>
  <c r="O83" i="5"/>
  <c r="K83" i="5"/>
  <c r="G83" i="5"/>
  <c r="G84" i="5"/>
  <c r="K84" i="5"/>
  <c r="H80" i="5"/>
  <c r="O84" i="5"/>
  <c r="J80" i="5"/>
  <c r="F96" i="5"/>
  <c r="L75" i="5"/>
  <c r="I74" i="5"/>
  <c r="N75" i="5"/>
  <c r="J75" i="5"/>
  <c r="H75" i="5"/>
  <c r="O80" i="5"/>
  <c r="K80" i="5"/>
  <c r="G80" i="5"/>
  <c r="Q80" i="5"/>
  <c r="M80" i="5"/>
  <c r="I80" i="5"/>
  <c r="P80" i="5"/>
  <c r="L80" i="5"/>
  <c r="E99" i="5"/>
  <c r="Q83" i="5"/>
  <c r="E100" i="5"/>
  <c r="Q84" i="5"/>
  <c r="P83" i="5"/>
  <c r="L83" i="5"/>
  <c r="H83" i="5"/>
  <c r="P84" i="5"/>
  <c r="L84" i="5"/>
  <c r="H84" i="5"/>
  <c r="N80" i="5"/>
  <c r="N83" i="5"/>
  <c r="J83" i="5"/>
  <c r="F83" i="5"/>
  <c r="N84" i="5"/>
  <c r="J84" i="5"/>
  <c r="F84" i="5"/>
  <c r="N74" i="5"/>
  <c r="J74" i="5"/>
  <c r="F74" i="5"/>
  <c r="O75" i="5"/>
  <c r="K75" i="5"/>
  <c r="G75" i="5"/>
  <c r="Q74" i="5"/>
  <c r="M74" i="5"/>
  <c r="F75" i="5"/>
  <c r="F80" i="5"/>
  <c r="P74" i="5"/>
  <c r="L74" i="5"/>
  <c r="H74" i="5"/>
  <c r="Q75" i="5"/>
  <c r="M75" i="5"/>
  <c r="I75" i="5"/>
  <c r="E95" i="5"/>
  <c r="E107" i="5" l="1"/>
  <c r="E233" i="5" s="1"/>
  <c r="F233" i="5" s="1"/>
  <c r="S163" i="5"/>
  <c r="T163" i="5"/>
  <c r="E100" i="9"/>
  <c r="I107" i="9" l="1"/>
  <c r="F12" i="5" s="1"/>
  <c r="J107" i="9"/>
  <c r="G12" i="5" s="1"/>
  <c r="L107" i="9"/>
  <c r="I12" i="5" s="1"/>
  <c r="M107" i="9"/>
  <c r="J12" i="5" s="1"/>
  <c r="N107" i="9"/>
  <c r="K12" i="5" s="1"/>
  <c r="P107" i="9"/>
  <c r="M12" i="5" s="1"/>
  <c r="Q107" i="9"/>
  <c r="N12" i="5" s="1"/>
  <c r="R107" i="9"/>
  <c r="O12" i="5" s="1"/>
  <c r="T107" i="9"/>
  <c r="Q12" i="5" s="1"/>
  <c r="H107" i="9"/>
  <c r="E12" i="5" s="1"/>
  <c r="K107" i="9"/>
  <c r="H12" i="5" s="1"/>
  <c r="E99" i="9"/>
  <c r="J106" i="9" s="1"/>
  <c r="E98" i="9"/>
  <c r="I105" i="9" s="1"/>
  <c r="H77" i="9"/>
  <c r="I76" i="9"/>
  <c r="J76" i="9"/>
  <c r="K76" i="9"/>
  <c r="L76" i="9"/>
  <c r="M76" i="9"/>
  <c r="N76" i="9"/>
  <c r="O76" i="9"/>
  <c r="P76" i="9"/>
  <c r="Q76" i="9"/>
  <c r="R76" i="9"/>
  <c r="S76" i="9"/>
  <c r="T76" i="9"/>
  <c r="I75" i="9"/>
  <c r="I77" i="9" s="1"/>
  <c r="J75" i="9"/>
  <c r="K75" i="9"/>
  <c r="L75" i="9"/>
  <c r="L77" i="9" s="1"/>
  <c r="M75" i="9"/>
  <c r="M77" i="9" s="1"/>
  <c r="N75" i="9"/>
  <c r="O75" i="9"/>
  <c r="P75" i="9"/>
  <c r="P77" i="9" s="1"/>
  <c r="Q75" i="9"/>
  <c r="Q77" i="9" s="1"/>
  <c r="R75" i="9"/>
  <c r="R77" i="9" s="1"/>
  <c r="S75" i="9"/>
  <c r="T75" i="9"/>
  <c r="T77" i="9" s="1"/>
  <c r="O47" i="9"/>
  <c r="P47" i="9"/>
  <c r="Q47" i="9"/>
  <c r="R47" i="9"/>
  <c r="S47" i="9"/>
  <c r="S46" i="9"/>
  <c r="R46" i="9"/>
  <c r="Q46" i="9"/>
  <c r="P46" i="9"/>
  <c r="O46" i="9"/>
  <c r="T45" i="9"/>
  <c r="T46" i="9" s="1"/>
  <c r="N45" i="9"/>
  <c r="N46" i="9" s="1"/>
  <c r="F104" i="5" l="1"/>
  <c r="T12" i="5"/>
  <c r="S12" i="5"/>
  <c r="Q66" i="5"/>
  <c r="Q166" i="5"/>
  <c r="K66" i="5"/>
  <c r="K166" i="5"/>
  <c r="O66" i="5"/>
  <c r="O166" i="5"/>
  <c r="J66" i="5"/>
  <c r="J166" i="5"/>
  <c r="N66" i="5"/>
  <c r="N166" i="5"/>
  <c r="I66" i="5"/>
  <c r="I166" i="5"/>
  <c r="H66" i="5"/>
  <c r="H166" i="5"/>
  <c r="E66" i="5"/>
  <c r="E166" i="5"/>
  <c r="M66" i="5"/>
  <c r="M166" i="5"/>
  <c r="G66" i="5"/>
  <c r="G166" i="5"/>
  <c r="F66" i="5"/>
  <c r="F166" i="5"/>
  <c r="H78" i="5"/>
  <c r="F78" i="5"/>
  <c r="O78" i="5"/>
  <c r="J78" i="5"/>
  <c r="G78" i="5"/>
  <c r="K78" i="5"/>
  <c r="N78" i="5"/>
  <c r="I78" i="5"/>
  <c r="Q106" i="9"/>
  <c r="M106" i="9"/>
  <c r="I106" i="9"/>
  <c r="P105" i="9"/>
  <c r="S105" i="9"/>
  <c r="O105" i="9"/>
  <c r="K105" i="9"/>
  <c r="T106" i="9"/>
  <c r="P106" i="9"/>
  <c r="L106" i="9"/>
  <c r="H106" i="9"/>
  <c r="R105" i="9"/>
  <c r="N105" i="9"/>
  <c r="J105" i="9"/>
  <c r="S107" i="9"/>
  <c r="P12" i="5" s="1"/>
  <c r="O107" i="9"/>
  <c r="L12" i="5" s="1"/>
  <c r="L166" i="5" s="1"/>
  <c r="S106" i="9"/>
  <c r="O106" i="9"/>
  <c r="K106" i="9"/>
  <c r="T105" i="9"/>
  <c r="L105" i="9"/>
  <c r="H105" i="9"/>
  <c r="Q105" i="9"/>
  <c r="M105" i="9"/>
  <c r="R106" i="9"/>
  <c r="N106" i="9"/>
  <c r="N77" i="9"/>
  <c r="S77" i="9"/>
  <c r="J77" i="9"/>
  <c r="O77" i="9"/>
  <c r="K77" i="9"/>
  <c r="N47" i="9"/>
  <c r="T47" i="9"/>
  <c r="S166" i="5" l="1"/>
  <c r="T166" i="5"/>
  <c r="P66" i="5"/>
  <c r="P166" i="5"/>
  <c r="M78" i="5"/>
  <c r="L66" i="5"/>
  <c r="P78" i="5"/>
  <c r="L78" i="5"/>
  <c r="Q78" i="5"/>
  <c r="H36" i="7"/>
  <c r="V36" i="7"/>
  <c r="U36" i="7"/>
  <c r="T36" i="7"/>
  <c r="S36" i="7"/>
  <c r="R36" i="7"/>
  <c r="Q36" i="7"/>
  <c r="P36" i="7"/>
  <c r="O36" i="7"/>
  <c r="N36" i="7"/>
  <c r="M36" i="7"/>
  <c r="L36" i="7"/>
  <c r="K36" i="7"/>
  <c r="J36" i="7"/>
  <c r="I36" i="7"/>
  <c r="H74" i="7"/>
  <c r="H73" i="7"/>
  <c r="H49" i="4"/>
  <c r="H50" i="4"/>
  <c r="H48" i="4"/>
  <c r="H47" i="4"/>
  <c r="H75" i="7" l="1"/>
  <c r="H76" i="7"/>
  <c r="U70" i="7"/>
  <c r="V70" i="7"/>
  <c r="I38" i="4"/>
  <c r="J38" i="4"/>
  <c r="K38" i="4"/>
  <c r="L38" i="4"/>
  <c r="M38" i="4"/>
  <c r="N38" i="4"/>
  <c r="O38" i="4"/>
  <c r="P38" i="4"/>
  <c r="Q38" i="4"/>
  <c r="R38" i="4"/>
  <c r="S38" i="4"/>
  <c r="T38" i="4"/>
  <c r="U38" i="4"/>
  <c r="V38" i="4"/>
  <c r="H38" i="4"/>
  <c r="I35" i="3"/>
  <c r="J35" i="3"/>
  <c r="K35" i="3"/>
  <c r="L35" i="3"/>
  <c r="M35" i="3"/>
  <c r="N35" i="3"/>
  <c r="O35" i="3"/>
  <c r="P35" i="3"/>
  <c r="Q35" i="3"/>
  <c r="R35" i="3"/>
  <c r="S35" i="3"/>
  <c r="T35" i="3"/>
  <c r="U35" i="3"/>
  <c r="V35" i="3"/>
  <c r="H35" i="3"/>
  <c r="H43" i="4" l="1"/>
  <c r="H39" i="3"/>
  <c r="H41" i="3"/>
  <c r="H38" i="3"/>
  <c r="H40" i="3"/>
  <c r="H44" i="4"/>
  <c r="H42" i="4"/>
  <c r="H41" i="4"/>
  <c r="U34" i="3" l="1"/>
  <c r="V34" i="3"/>
  <c r="T34" i="3"/>
  <c r="P424" i="28" l="1"/>
  <c r="N424" i="28"/>
  <c r="L424" i="28"/>
  <c r="S315" i="28"/>
  <c r="R315" i="28"/>
  <c r="Q315" i="28"/>
  <c r="P315" i="28"/>
  <c r="O315" i="28"/>
  <c r="N315" i="28"/>
  <c r="M315" i="28"/>
  <c r="L315" i="28"/>
  <c r="K315" i="28"/>
  <c r="J315" i="28"/>
  <c r="I315" i="28"/>
  <c r="H315" i="28"/>
  <c r="G315" i="28"/>
  <c r="H255" i="28"/>
  <c r="I255" i="28"/>
  <c r="J255" i="28"/>
  <c r="K255" i="28"/>
  <c r="L255" i="28"/>
  <c r="M255" i="28"/>
  <c r="N255" i="28"/>
  <c r="O255" i="28"/>
  <c r="P255" i="28"/>
  <c r="Q255" i="28"/>
  <c r="R255" i="28"/>
  <c r="S255" i="28"/>
  <c r="H254" i="28"/>
  <c r="I254" i="28"/>
  <c r="J254" i="28"/>
  <c r="K254" i="28"/>
  <c r="L254" i="28"/>
  <c r="M254" i="28"/>
  <c r="N254" i="28"/>
  <c r="O254" i="28"/>
  <c r="P254" i="28"/>
  <c r="Q254" i="28"/>
  <c r="R254" i="28"/>
  <c r="S254" i="28"/>
  <c r="H253" i="28"/>
  <c r="I253" i="28"/>
  <c r="J253" i="28"/>
  <c r="K253" i="28"/>
  <c r="L253" i="28"/>
  <c r="M253" i="28"/>
  <c r="N253" i="28"/>
  <c r="O253" i="28"/>
  <c r="P253" i="28"/>
  <c r="Q253" i="28"/>
  <c r="R253" i="28"/>
  <c r="S253" i="28"/>
  <c r="H252" i="28"/>
  <c r="I252" i="28"/>
  <c r="J252" i="28"/>
  <c r="K252" i="28"/>
  <c r="L252" i="28"/>
  <c r="M252" i="28"/>
  <c r="N252" i="28"/>
  <c r="O252" i="28"/>
  <c r="P252" i="28"/>
  <c r="Q252" i="28"/>
  <c r="R252" i="28"/>
  <c r="S252" i="28"/>
  <c r="H251" i="28"/>
  <c r="I251" i="28"/>
  <c r="J251" i="28"/>
  <c r="K251" i="28"/>
  <c r="L251" i="28"/>
  <c r="M251" i="28"/>
  <c r="N251" i="28"/>
  <c r="O251" i="28"/>
  <c r="P251" i="28"/>
  <c r="Q251" i="28"/>
  <c r="R251" i="28"/>
  <c r="S251" i="28"/>
  <c r="H250" i="28"/>
  <c r="I250" i="28"/>
  <c r="J250" i="28"/>
  <c r="K250" i="28"/>
  <c r="L250" i="28"/>
  <c r="M250" i="28"/>
  <c r="N250" i="28"/>
  <c r="O250" i="28"/>
  <c r="P250" i="28"/>
  <c r="Q250" i="28"/>
  <c r="R250" i="28"/>
  <c r="S250" i="28"/>
  <c r="H249" i="28"/>
  <c r="I249" i="28"/>
  <c r="J249" i="28"/>
  <c r="K249" i="28"/>
  <c r="L249" i="28"/>
  <c r="M249" i="28"/>
  <c r="N249" i="28"/>
  <c r="O249" i="28"/>
  <c r="P249" i="28"/>
  <c r="Q249" i="28"/>
  <c r="R249" i="28"/>
  <c r="S249" i="28"/>
  <c r="G249" i="28"/>
  <c r="D434" i="28" s="1"/>
  <c r="G250" i="28"/>
  <c r="G251" i="28"/>
  <c r="G252" i="28"/>
  <c r="G253" i="28"/>
  <c r="G254" i="28"/>
  <c r="G255" i="28"/>
  <c r="H248" i="28"/>
  <c r="I248" i="28"/>
  <c r="J248" i="28"/>
  <c r="K248" i="28"/>
  <c r="L248" i="28"/>
  <c r="M248" i="28"/>
  <c r="N248" i="28"/>
  <c r="O248" i="28"/>
  <c r="P248" i="28"/>
  <c r="Q248" i="28"/>
  <c r="R248" i="28"/>
  <c r="S248" i="28"/>
  <c r="G248" i="28"/>
  <c r="D433" i="28" s="1"/>
  <c r="H143" i="28"/>
  <c r="I143" i="28"/>
  <c r="J143" i="28"/>
  <c r="K143" i="28"/>
  <c r="L143" i="28"/>
  <c r="M143" i="28"/>
  <c r="N143" i="28"/>
  <c r="O143" i="28"/>
  <c r="P143" i="28"/>
  <c r="Q143" i="28"/>
  <c r="R143" i="28"/>
  <c r="S143" i="28"/>
  <c r="H142" i="28"/>
  <c r="I142" i="28"/>
  <c r="J142" i="28"/>
  <c r="K142" i="28"/>
  <c r="L142" i="28"/>
  <c r="M142" i="28"/>
  <c r="N142" i="28"/>
  <c r="O142" i="28"/>
  <c r="P142" i="28"/>
  <c r="Q142" i="28"/>
  <c r="R142" i="28"/>
  <c r="S142" i="28"/>
  <c r="H141" i="28"/>
  <c r="I141" i="28"/>
  <c r="J141" i="28"/>
  <c r="K141" i="28"/>
  <c r="L141" i="28"/>
  <c r="N141" i="28"/>
  <c r="O141" i="28"/>
  <c r="P141" i="28"/>
  <c r="Q141" i="28"/>
  <c r="R141" i="28"/>
  <c r="S141" i="28"/>
  <c r="E422" i="28" s="1"/>
  <c r="H140" i="28"/>
  <c r="I140" i="28"/>
  <c r="J140" i="28"/>
  <c r="K140" i="28"/>
  <c r="L140" i="28"/>
  <c r="M140" i="28"/>
  <c r="N140" i="28"/>
  <c r="O140" i="28"/>
  <c r="P140" i="28"/>
  <c r="Q140" i="28"/>
  <c r="R140" i="28"/>
  <c r="S140" i="28"/>
  <c r="G140" i="28"/>
  <c r="D432" i="28" s="1"/>
  <c r="G141" i="28"/>
  <c r="G142" i="28"/>
  <c r="G143" i="28"/>
  <c r="H139" i="28"/>
  <c r="I139" i="28"/>
  <c r="J139" i="28"/>
  <c r="K139" i="28"/>
  <c r="L139" i="28"/>
  <c r="M139" i="28"/>
  <c r="N139" i="28"/>
  <c r="O139" i="28"/>
  <c r="P139" i="28"/>
  <c r="Q139" i="28"/>
  <c r="R139" i="28"/>
  <c r="S139" i="28"/>
  <c r="G139" i="28"/>
  <c r="D431" i="28" s="1"/>
  <c r="H309" i="28"/>
  <c r="I309" i="28"/>
  <c r="J309" i="28"/>
  <c r="K309" i="28"/>
  <c r="L309" i="28"/>
  <c r="M309" i="28"/>
  <c r="N309" i="28"/>
  <c r="O309" i="28"/>
  <c r="P309" i="28"/>
  <c r="Q309" i="28"/>
  <c r="R309" i="28"/>
  <c r="S309" i="28"/>
  <c r="H308" i="28"/>
  <c r="I308" i="28"/>
  <c r="J308" i="28"/>
  <c r="K308" i="28"/>
  <c r="L308" i="28"/>
  <c r="M308" i="28"/>
  <c r="N308" i="28"/>
  <c r="O308" i="28"/>
  <c r="P308" i="28"/>
  <c r="Q308" i="28"/>
  <c r="R308" i="28"/>
  <c r="S308" i="28"/>
  <c r="H299" i="28"/>
  <c r="I299" i="28"/>
  <c r="J299" i="28"/>
  <c r="K299" i="28"/>
  <c r="L299" i="28"/>
  <c r="M299" i="28"/>
  <c r="N299" i="28"/>
  <c r="O299" i="28"/>
  <c r="P299" i="28"/>
  <c r="Q299" i="28"/>
  <c r="R299" i="28"/>
  <c r="S299" i="28"/>
  <c r="H298" i="28"/>
  <c r="I298" i="28"/>
  <c r="J298" i="28"/>
  <c r="K298" i="28"/>
  <c r="L298" i="28"/>
  <c r="M298" i="28"/>
  <c r="N298" i="28"/>
  <c r="O298" i="28"/>
  <c r="P298" i="28"/>
  <c r="Q298" i="28"/>
  <c r="R298" i="28"/>
  <c r="S298" i="28"/>
  <c r="H289" i="28"/>
  <c r="I289" i="28"/>
  <c r="J289" i="28"/>
  <c r="K289" i="28"/>
  <c r="L289" i="28"/>
  <c r="M289" i="28"/>
  <c r="N289" i="28"/>
  <c r="O289" i="28"/>
  <c r="P289" i="28"/>
  <c r="Q289" i="28"/>
  <c r="R289" i="28"/>
  <c r="S289" i="28"/>
  <c r="H288" i="28"/>
  <c r="I288" i="28"/>
  <c r="J288" i="28"/>
  <c r="K288" i="28"/>
  <c r="L288" i="28"/>
  <c r="M288" i="28"/>
  <c r="N288" i="28"/>
  <c r="O288" i="28"/>
  <c r="P288" i="28"/>
  <c r="Q288" i="28"/>
  <c r="R288" i="28"/>
  <c r="S288" i="28"/>
  <c r="H279" i="28"/>
  <c r="I279" i="28"/>
  <c r="J279" i="28"/>
  <c r="K279" i="28"/>
  <c r="L279" i="28"/>
  <c r="M279" i="28"/>
  <c r="N279" i="28"/>
  <c r="O279" i="28"/>
  <c r="P279" i="28"/>
  <c r="Q279" i="28"/>
  <c r="R279" i="28"/>
  <c r="S279" i="28"/>
  <c r="H278" i="28"/>
  <c r="I278" i="28"/>
  <c r="J278" i="28"/>
  <c r="K278" i="28"/>
  <c r="L278" i="28"/>
  <c r="M278" i="28"/>
  <c r="N278" i="28"/>
  <c r="O278" i="28"/>
  <c r="P278" i="28"/>
  <c r="Q278" i="28"/>
  <c r="R278" i="28"/>
  <c r="S278" i="28"/>
  <c r="H269" i="28"/>
  <c r="I269" i="28"/>
  <c r="J269" i="28"/>
  <c r="K269" i="28"/>
  <c r="L269" i="28"/>
  <c r="M269" i="28"/>
  <c r="N269" i="28"/>
  <c r="O269" i="28"/>
  <c r="P269" i="28"/>
  <c r="Q269" i="28"/>
  <c r="R269" i="28"/>
  <c r="S269" i="28"/>
  <c r="H268" i="28"/>
  <c r="I268" i="28"/>
  <c r="J268" i="28"/>
  <c r="K268" i="28"/>
  <c r="L268" i="28"/>
  <c r="M268" i="28"/>
  <c r="N268" i="28"/>
  <c r="O268" i="28"/>
  <c r="P268" i="28"/>
  <c r="Q268" i="28"/>
  <c r="R268" i="28"/>
  <c r="S268" i="28"/>
  <c r="G309" i="28"/>
  <c r="G308" i="28"/>
  <c r="G299" i="28"/>
  <c r="G298" i="28"/>
  <c r="G289" i="28"/>
  <c r="G288" i="28"/>
  <c r="G279" i="28"/>
  <c r="G278" i="28"/>
  <c r="G269" i="28"/>
  <c r="G268" i="28"/>
  <c r="G267" i="28"/>
  <c r="H267" i="28"/>
  <c r="I267" i="28"/>
  <c r="J267" i="28"/>
  <c r="K267" i="28"/>
  <c r="L267" i="28"/>
  <c r="M267" i="28"/>
  <c r="N267" i="28"/>
  <c r="O267" i="28"/>
  <c r="P267" i="28"/>
  <c r="Q267" i="28"/>
  <c r="R267" i="28"/>
  <c r="S267" i="28"/>
  <c r="H287" i="28"/>
  <c r="I287" i="28"/>
  <c r="J287" i="28"/>
  <c r="K287" i="28"/>
  <c r="L287" i="28"/>
  <c r="M287" i="28"/>
  <c r="N287" i="28"/>
  <c r="O287" i="28"/>
  <c r="P287" i="28"/>
  <c r="Q287" i="28"/>
  <c r="R287" i="28"/>
  <c r="S287" i="28"/>
  <c r="H297" i="28"/>
  <c r="I297" i="28"/>
  <c r="J297" i="28"/>
  <c r="K297" i="28"/>
  <c r="L297" i="28"/>
  <c r="M297" i="28"/>
  <c r="N297" i="28"/>
  <c r="O297" i="28"/>
  <c r="P297" i="28"/>
  <c r="Q297" i="28"/>
  <c r="R297" i="28"/>
  <c r="S297" i="28"/>
  <c r="H307" i="28"/>
  <c r="I307" i="28"/>
  <c r="J307" i="28"/>
  <c r="K307" i="28"/>
  <c r="L307" i="28"/>
  <c r="M307" i="28"/>
  <c r="N307" i="28"/>
  <c r="O307" i="28"/>
  <c r="P307" i="28"/>
  <c r="Q307" i="28"/>
  <c r="R307" i="28"/>
  <c r="S307" i="28"/>
  <c r="G307" i="28"/>
  <c r="G297" i="28"/>
  <c r="G287" i="28"/>
  <c r="H277" i="28"/>
  <c r="I277" i="28"/>
  <c r="J277" i="28"/>
  <c r="K277" i="28"/>
  <c r="L277" i="28"/>
  <c r="M277" i="28"/>
  <c r="N277" i="28"/>
  <c r="O277" i="28"/>
  <c r="P277" i="28"/>
  <c r="Q277" i="28"/>
  <c r="R277" i="28"/>
  <c r="S277" i="28"/>
  <c r="G277" i="28"/>
  <c r="H286" i="28"/>
  <c r="I286" i="28"/>
  <c r="J286" i="28"/>
  <c r="K286" i="28"/>
  <c r="L286" i="28"/>
  <c r="M286" i="28"/>
  <c r="N286" i="28"/>
  <c r="O286" i="28"/>
  <c r="P286" i="28"/>
  <c r="Q286" i="28"/>
  <c r="R286" i="28"/>
  <c r="S286" i="28"/>
  <c r="H296" i="28"/>
  <c r="I296" i="28"/>
  <c r="J296" i="28"/>
  <c r="K296" i="28"/>
  <c r="L296" i="28"/>
  <c r="M296" i="28"/>
  <c r="N296" i="28"/>
  <c r="O296" i="28"/>
  <c r="P296" i="28"/>
  <c r="Q296" i="28"/>
  <c r="R296" i="28"/>
  <c r="S296" i="28"/>
  <c r="H306" i="28"/>
  <c r="I306" i="28"/>
  <c r="J306" i="28"/>
  <c r="K306" i="28"/>
  <c r="L306" i="28"/>
  <c r="M306" i="28"/>
  <c r="N306" i="28"/>
  <c r="O306" i="28"/>
  <c r="P306" i="28"/>
  <c r="Q306" i="28"/>
  <c r="R306" i="28"/>
  <c r="S306" i="28"/>
  <c r="G306" i="28"/>
  <c r="G296" i="28"/>
  <c r="G286" i="28"/>
  <c r="H276" i="28"/>
  <c r="I276" i="28"/>
  <c r="J276" i="28"/>
  <c r="K276" i="28"/>
  <c r="L276" i="28"/>
  <c r="M276" i="28"/>
  <c r="N276" i="28"/>
  <c r="O276" i="28"/>
  <c r="P276" i="28"/>
  <c r="Q276" i="28"/>
  <c r="R276" i="28"/>
  <c r="S276" i="28"/>
  <c r="G276" i="28"/>
  <c r="H266" i="28"/>
  <c r="I266" i="28"/>
  <c r="J266" i="28"/>
  <c r="K266" i="28"/>
  <c r="L266" i="28"/>
  <c r="M266" i="28"/>
  <c r="N266" i="28"/>
  <c r="O266" i="28"/>
  <c r="P266" i="28"/>
  <c r="Q266" i="28"/>
  <c r="R266" i="28"/>
  <c r="S266" i="28"/>
  <c r="G266" i="28"/>
  <c r="H303" i="28"/>
  <c r="I303" i="28"/>
  <c r="J303" i="28"/>
  <c r="K303" i="28"/>
  <c r="L303" i="28"/>
  <c r="M303" i="28"/>
  <c r="N303" i="28"/>
  <c r="O303" i="28"/>
  <c r="P303" i="28"/>
  <c r="Q303" i="28"/>
  <c r="R303" i="28"/>
  <c r="S303" i="28"/>
  <c r="H293" i="28"/>
  <c r="I293" i="28"/>
  <c r="J293" i="28"/>
  <c r="K293" i="28"/>
  <c r="L293" i="28"/>
  <c r="M293" i="28"/>
  <c r="N293" i="28"/>
  <c r="O293" i="28"/>
  <c r="P293" i="28"/>
  <c r="Q293" i="28"/>
  <c r="R293" i="28"/>
  <c r="S293" i="28"/>
  <c r="H283" i="28"/>
  <c r="I283" i="28"/>
  <c r="J283" i="28"/>
  <c r="K283" i="28"/>
  <c r="L283" i="28"/>
  <c r="M283" i="28"/>
  <c r="N283" i="28"/>
  <c r="O283" i="28"/>
  <c r="P283" i="28"/>
  <c r="Q283" i="28"/>
  <c r="R283" i="28"/>
  <c r="S283" i="28"/>
  <c r="H273" i="28"/>
  <c r="I273" i="28"/>
  <c r="J273" i="28"/>
  <c r="K273" i="28"/>
  <c r="L273" i="28"/>
  <c r="M273" i="28"/>
  <c r="N273" i="28"/>
  <c r="O273" i="28"/>
  <c r="P273" i="28"/>
  <c r="Q273" i="28"/>
  <c r="R273" i="28"/>
  <c r="S273" i="28"/>
  <c r="G303" i="28"/>
  <c r="G293" i="28"/>
  <c r="G283" i="28"/>
  <c r="G273" i="28"/>
  <c r="H263" i="28"/>
  <c r="I263" i="28"/>
  <c r="J263" i="28"/>
  <c r="K263" i="28"/>
  <c r="L263" i="28"/>
  <c r="M263" i="28"/>
  <c r="N263" i="28"/>
  <c r="O263" i="28"/>
  <c r="P263" i="28"/>
  <c r="Q263" i="28"/>
  <c r="R263" i="28"/>
  <c r="S263" i="28"/>
  <c r="G263" i="28"/>
  <c r="H184" i="28"/>
  <c r="I184" i="28"/>
  <c r="J184" i="28"/>
  <c r="K184" i="28"/>
  <c r="L184" i="28"/>
  <c r="M184" i="28"/>
  <c r="N184" i="28"/>
  <c r="O184" i="28"/>
  <c r="P184" i="28"/>
  <c r="Q184" i="28"/>
  <c r="R184" i="28"/>
  <c r="S184" i="28"/>
  <c r="H177" i="28"/>
  <c r="I177" i="28"/>
  <c r="J177" i="28"/>
  <c r="K177" i="28"/>
  <c r="L177" i="28"/>
  <c r="M177" i="28"/>
  <c r="N177" i="28"/>
  <c r="O177" i="28"/>
  <c r="P177" i="28"/>
  <c r="Q177" i="28"/>
  <c r="R177" i="28"/>
  <c r="S177" i="28"/>
  <c r="H170" i="28"/>
  <c r="I170" i="28"/>
  <c r="J170" i="28"/>
  <c r="K170" i="28"/>
  <c r="L170" i="28"/>
  <c r="M170" i="28"/>
  <c r="N170" i="28"/>
  <c r="O170" i="28"/>
  <c r="P170" i="28"/>
  <c r="Q170" i="28"/>
  <c r="R170" i="28"/>
  <c r="S170" i="28"/>
  <c r="H163" i="28"/>
  <c r="I163" i="28"/>
  <c r="J163" i="28"/>
  <c r="K163" i="28"/>
  <c r="L163" i="28"/>
  <c r="M163" i="28"/>
  <c r="N163" i="28"/>
  <c r="O163" i="28"/>
  <c r="P163" i="28"/>
  <c r="Q163" i="28"/>
  <c r="R163" i="28"/>
  <c r="S163" i="28"/>
  <c r="G184" i="28"/>
  <c r="G177" i="28"/>
  <c r="G170" i="28"/>
  <c r="G163" i="28"/>
  <c r="H156" i="28"/>
  <c r="I156" i="28"/>
  <c r="J156" i="28"/>
  <c r="K156" i="28"/>
  <c r="L156" i="28"/>
  <c r="M156" i="28"/>
  <c r="N156" i="28"/>
  <c r="O156" i="28"/>
  <c r="P156" i="28"/>
  <c r="Q156" i="28"/>
  <c r="R156" i="28"/>
  <c r="S156" i="28"/>
  <c r="G156" i="28"/>
  <c r="H183" i="28"/>
  <c r="I183" i="28"/>
  <c r="J183" i="28"/>
  <c r="K183" i="28"/>
  <c r="L183" i="28"/>
  <c r="M183" i="28"/>
  <c r="N183" i="28"/>
  <c r="O183" i="28"/>
  <c r="P183" i="28"/>
  <c r="Q183" i="28"/>
  <c r="R183" i="28"/>
  <c r="S183" i="28"/>
  <c r="S176" i="28"/>
  <c r="H176" i="28"/>
  <c r="I176" i="28"/>
  <c r="J176" i="28"/>
  <c r="K176" i="28"/>
  <c r="L176" i="28"/>
  <c r="M176" i="28"/>
  <c r="N176" i="28"/>
  <c r="O176" i="28"/>
  <c r="P176" i="28"/>
  <c r="Q176" i="28"/>
  <c r="R176" i="28"/>
  <c r="H169" i="28"/>
  <c r="I169" i="28"/>
  <c r="J169" i="28"/>
  <c r="K169" i="28"/>
  <c r="L169" i="28"/>
  <c r="M169" i="28"/>
  <c r="N169" i="28"/>
  <c r="O169" i="28"/>
  <c r="P169" i="28"/>
  <c r="Q169" i="28"/>
  <c r="R169" i="28"/>
  <c r="S169" i="28"/>
  <c r="H162" i="28"/>
  <c r="I162" i="28"/>
  <c r="J162" i="28"/>
  <c r="K162" i="28"/>
  <c r="L162" i="28"/>
  <c r="M162" i="28"/>
  <c r="N162" i="28"/>
  <c r="O162" i="28"/>
  <c r="P162" i="28"/>
  <c r="Q162" i="28"/>
  <c r="R162" i="28"/>
  <c r="S162" i="28"/>
  <c r="G183" i="28"/>
  <c r="G176" i="28"/>
  <c r="G169" i="28"/>
  <c r="G162" i="28"/>
  <c r="H155" i="28"/>
  <c r="I155" i="28"/>
  <c r="J155" i="28"/>
  <c r="K155" i="28"/>
  <c r="L155" i="28"/>
  <c r="M155" i="28"/>
  <c r="N155" i="28"/>
  <c r="O155" i="28"/>
  <c r="P155" i="28"/>
  <c r="Q155" i="28"/>
  <c r="R155" i="28"/>
  <c r="S155" i="28"/>
  <c r="G155" i="28"/>
  <c r="Q83" i="28"/>
  <c r="P83" i="28"/>
  <c r="O83" i="28"/>
  <c r="N83" i="28"/>
  <c r="M83" i="28"/>
  <c r="L83" i="28"/>
  <c r="K83" i="28"/>
  <c r="J83" i="28"/>
  <c r="I83" i="28"/>
  <c r="H83" i="28"/>
  <c r="G83" i="28"/>
  <c r="H182" i="28"/>
  <c r="I182" i="28"/>
  <c r="J182" i="28"/>
  <c r="K182" i="28"/>
  <c r="L182" i="28"/>
  <c r="N182" i="28"/>
  <c r="O182" i="28"/>
  <c r="P182" i="28"/>
  <c r="Q182" i="28"/>
  <c r="R182" i="28"/>
  <c r="S182" i="28"/>
  <c r="H175" i="28"/>
  <c r="I175" i="28"/>
  <c r="J175" i="28"/>
  <c r="K175" i="28"/>
  <c r="L175" i="28"/>
  <c r="M175" i="28"/>
  <c r="N175" i="28"/>
  <c r="O175" i="28"/>
  <c r="P175" i="28"/>
  <c r="Q175" i="28"/>
  <c r="R175" i="28"/>
  <c r="S175" i="28"/>
  <c r="H168" i="28"/>
  <c r="I168" i="28"/>
  <c r="J168" i="28"/>
  <c r="K168" i="28"/>
  <c r="L168" i="28"/>
  <c r="M168" i="28"/>
  <c r="N168" i="28"/>
  <c r="O168" i="28"/>
  <c r="P168" i="28"/>
  <c r="Q168" i="28"/>
  <c r="R168" i="28"/>
  <c r="S168" i="28"/>
  <c r="H161" i="28"/>
  <c r="I161" i="28"/>
  <c r="J161" i="28"/>
  <c r="K161" i="28"/>
  <c r="L161" i="28"/>
  <c r="M161" i="28"/>
  <c r="N161" i="28"/>
  <c r="O161" i="28"/>
  <c r="P161" i="28"/>
  <c r="Q161" i="28"/>
  <c r="R161" i="28"/>
  <c r="S161" i="28"/>
  <c r="G182" i="28"/>
  <c r="G175" i="28"/>
  <c r="G168" i="28"/>
  <c r="G161" i="28"/>
  <c r="H154" i="28"/>
  <c r="I154" i="28"/>
  <c r="J154" i="28"/>
  <c r="K154" i="28"/>
  <c r="L154" i="28"/>
  <c r="M154" i="28"/>
  <c r="N154" i="28"/>
  <c r="O154" i="28"/>
  <c r="P154" i="28"/>
  <c r="Q154" i="28"/>
  <c r="R154" i="28"/>
  <c r="S154" i="28"/>
  <c r="G154" i="28"/>
  <c r="H181" i="28"/>
  <c r="I181" i="28"/>
  <c r="J181" i="28"/>
  <c r="K181" i="28"/>
  <c r="L181" i="28"/>
  <c r="M181" i="28"/>
  <c r="N181" i="28"/>
  <c r="O181" i="28"/>
  <c r="P181" i="28"/>
  <c r="Q181" i="28"/>
  <c r="R181" i="28"/>
  <c r="S181" i="28"/>
  <c r="H174" i="28"/>
  <c r="I174" i="28"/>
  <c r="J174" i="28"/>
  <c r="K174" i="28"/>
  <c r="L174" i="28"/>
  <c r="M174" i="28"/>
  <c r="N174" i="28"/>
  <c r="O174" i="28"/>
  <c r="P174" i="28"/>
  <c r="Q174" i="28"/>
  <c r="R174" i="28"/>
  <c r="S174" i="28"/>
  <c r="H167" i="28"/>
  <c r="I167" i="28"/>
  <c r="J167" i="28"/>
  <c r="K167" i="28"/>
  <c r="L167" i="28"/>
  <c r="M167" i="28"/>
  <c r="N167" i="28"/>
  <c r="O167" i="28"/>
  <c r="P167" i="28"/>
  <c r="Q167" i="28"/>
  <c r="R167" i="28"/>
  <c r="S167" i="28"/>
  <c r="H160" i="28"/>
  <c r="I160" i="28"/>
  <c r="J160" i="28"/>
  <c r="K160" i="28"/>
  <c r="L160" i="28"/>
  <c r="M160" i="28"/>
  <c r="N160" i="28"/>
  <c r="P160" i="28"/>
  <c r="Q160" i="28"/>
  <c r="R160" i="28"/>
  <c r="G181" i="28"/>
  <c r="G174" i="28"/>
  <c r="G160" i="28"/>
  <c r="H153" i="28"/>
  <c r="I153" i="28"/>
  <c r="J153" i="28"/>
  <c r="K153" i="28"/>
  <c r="L153" i="28"/>
  <c r="M153" i="28"/>
  <c r="N153" i="28"/>
  <c r="O153" i="28"/>
  <c r="P153" i="28"/>
  <c r="Q153" i="28"/>
  <c r="R153" i="28"/>
  <c r="S153" i="28"/>
  <c r="G153" i="28"/>
  <c r="H180" i="28"/>
  <c r="I180" i="28"/>
  <c r="J180" i="28"/>
  <c r="K180" i="28"/>
  <c r="L180" i="28"/>
  <c r="M180" i="28"/>
  <c r="N180" i="28"/>
  <c r="O180" i="28"/>
  <c r="P180" i="28"/>
  <c r="Q180" i="28"/>
  <c r="R180" i="28"/>
  <c r="S180" i="28"/>
  <c r="H173" i="28"/>
  <c r="I173" i="28"/>
  <c r="J173" i="28"/>
  <c r="K173" i="28"/>
  <c r="L173" i="28"/>
  <c r="M173" i="28"/>
  <c r="N173" i="28"/>
  <c r="O173" i="28"/>
  <c r="P173" i="28"/>
  <c r="Q173" i="28"/>
  <c r="R173" i="28"/>
  <c r="S173" i="28"/>
  <c r="H166" i="28"/>
  <c r="I166" i="28"/>
  <c r="J166" i="28"/>
  <c r="K166" i="28"/>
  <c r="L166" i="28"/>
  <c r="M166" i="28"/>
  <c r="N166" i="28"/>
  <c r="O166" i="28"/>
  <c r="P166" i="28"/>
  <c r="Q166" i="28"/>
  <c r="R166" i="28"/>
  <c r="S166" i="28"/>
  <c r="G166" i="28"/>
  <c r="H159" i="28"/>
  <c r="I159" i="28"/>
  <c r="J159" i="28"/>
  <c r="K159" i="28"/>
  <c r="L159" i="28"/>
  <c r="M159" i="28"/>
  <c r="N159" i="28"/>
  <c r="O159" i="28"/>
  <c r="P159" i="28"/>
  <c r="Q159" i="28"/>
  <c r="R159" i="28"/>
  <c r="S159" i="28"/>
  <c r="G180" i="28"/>
  <c r="G173" i="28"/>
  <c r="G159" i="28"/>
  <c r="G152" i="28"/>
  <c r="H152" i="28"/>
  <c r="I152" i="28"/>
  <c r="J152" i="28"/>
  <c r="K152" i="28"/>
  <c r="L152" i="28"/>
  <c r="M152" i="28"/>
  <c r="N152" i="28"/>
  <c r="O152" i="28"/>
  <c r="P152" i="28"/>
  <c r="Q152" i="28"/>
  <c r="R152" i="28"/>
  <c r="S152" i="28"/>
  <c r="S46" i="28"/>
  <c r="R46" i="28"/>
  <c r="Q46" i="28"/>
  <c r="P46" i="28"/>
  <c r="O46" i="28"/>
  <c r="N46" i="28"/>
  <c r="M46" i="28"/>
  <c r="L46" i="28"/>
  <c r="K46" i="28"/>
  <c r="J46" i="28"/>
  <c r="I46" i="28"/>
  <c r="H46" i="28"/>
  <c r="G46" i="28"/>
  <c r="S43" i="28"/>
  <c r="R43" i="28"/>
  <c r="Q43" i="28"/>
  <c r="P43" i="28"/>
  <c r="O43" i="28"/>
  <c r="N43" i="28"/>
  <c r="M43" i="28"/>
  <c r="L43" i="28"/>
  <c r="K43" i="28"/>
  <c r="J43" i="28"/>
  <c r="I43" i="28"/>
  <c r="H43" i="28"/>
  <c r="G43" i="28"/>
  <c r="S40" i="28"/>
  <c r="R40" i="28"/>
  <c r="Q40" i="28"/>
  <c r="P40" i="28"/>
  <c r="O40" i="28"/>
  <c r="N40" i="28"/>
  <c r="M40" i="28"/>
  <c r="L40" i="28"/>
  <c r="K40" i="28"/>
  <c r="J40" i="28"/>
  <c r="I40" i="28"/>
  <c r="H40" i="28"/>
  <c r="G40" i="28"/>
  <c r="S38" i="28"/>
  <c r="R38" i="28"/>
  <c r="Q38" i="28"/>
  <c r="P38" i="28"/>
  <c r="O38" i="28"/>
  <c r="N38" i="28"/>
  <c r="M38" i="28"/>
  <c r="L38" i="28"/>
  <c r="K38" i="28"/>
  <c r="J38" i="28"/>
  <c r="I38" i="28"/>
  <c r="H38" i="28"/>
  <c r="G38" i="28"/>
  <c r="S398" i="28" l="1"/>
  <c r="O398" i="28"/>
  <c r="R398" i="28"/>
  <c r="N398" i="28"/>
  <c r="Q398" i="28"/>
  <c r="M398" i="28"/>
  <c r="P431" i="28"/>
  <c r="P398" i="28"/>
  <c r="H431" i="28"/>
  <c r="E420" i="28"/>
  <c r="E426" i="28"/>
  <c r="P434" i="28"/>
  <c r="H434" i="28"/>
  <c r="P432" i="28"/>
  <c r="H432" i="28"/>
  <c r="E421" i="28"/>
  <c r="P433" i="28"/>
  <c r="H433" i="28"/>
  <c r="E425" i="28"/>
  <c r="D420" i="28"/>
  <c r="D421" i="28"/>
  <c r="M382" i="28"/>
  <c r="M351" i="28"/>
  <c r="M387" i="28" s="1"/>
  <c r="M352" i="28"/>
  <c r="M388" i="28" s="1"/>
  <c r="M381" i="28"/>
  <c r="M393" i="28" s="1"/>
  <c r="Q326" i="28"/>
  <c r="N326" i="28"/>
  <c r="R326" i="28"/>
  <c r="O326" i="28"/>
  <c r="S326" i="28"/>
  <c r="P326" i="28"/>
  <c r="Q336" i="28"/>
  <c r="R336" i="28"/>
  <c r="P336" i="28"/>
  <c r="O336" i="28"/>
  <c r="S336" i="28"/>
  <c r="N336" i="28"/>
  <c r="R341" i="28"/>
  <c r="O341" i="28"/>
  <c r="S341" i="28"/>
  <c r="P341" i="28"/>
  <c r="N341" i="28"/>
  <c r="Q341" i="28"/>
  <c r="O188" i="28"/>
  <c r="P352" i="28" s="1"/>
  <c r="P388" i="28" s="1"/>
  <c r="O346" i="28"/>
  <c r="S346" i="28"/>
  <c r="P346" i="28"/>
  <c r="N346" i="28"/>
  <c r="R346" i="28"/>
  <c r="Q346" i="28"/>
  <c r="M189" i="28"/>
  <c r="P331" i="28"/>
  <c r="N331" i="28"/>
  <c r="Q331" i="28"/>
  <c r="S331" i="28"/>
  <c r="R331" i="28"/>
  <c r="O331" i="28"/>
  <c r="D422" i="28"/>
  <c r="D423" i="28"/>
  <c r="P423" i="28" s="1"/>
  <c r="E423" i="28"/>
  <c r="D426" i="28"/>
  <c r="D425" i="28"/>
  <c r="L431" i="28"/>
  <c r="L432" i="28"/>
  <c r="L434" i="28"/>
  <c r="L433" i="28"/>
  <c r="Q317" i="28"/>
  <c r="M317" i="28"/>
  <c r="I317" i="28"/>
  <c r="Q319" i="28"/>
  <c r="I319" i="28"/>
  <c r="M319" i="28"/>
  <c r="S317" i="28"/>
  <c r="O317" i="28"/>
  <c r="K317" i="28"/>
  <c r="P313" i="28"/>
  <c r="Q381" i="28" s="1"/>
  <c r="Q393" i="28" s="1"/>
  <c r="L313" i="28"/>
  <c r="H313" i="28"/>
  <c r="L319" i="28"/>
  <c r="H319" i="28"/>
  <c r="S313" i="28"/>
  <c r="O313" i="28"/>
  <c r="P381" i="28" s="1"/>
  <c r="P393" i="28" s="1"/>
  <c r="K313" i="28"/>
  <c r="P317" i="28"/>
  <c r="L317" i="28"/>
  <c r="H317" i="28"/>
  <c r="G319" i="28"/>
  <c r="P318" i="28"/>
  <c r="L318" i="28"/>
  <c r="H318" i="28"/>
  <c r="P319" i="28"/>
  <c r="Q316" i="28"/>
  <c r="M316" i="28"/>
  <c r="I316" i="28"/>
  <c r="G316" i="28"/>
  <c r="S318" i="28"/>
  <c r="O318" i="28"/>
  <c r="K318" i="28"/>
  <c r="S319" i="28"/>
  <c r="O319" i="28"/>
  <c r="K319" i="28"/>
  <c r="G313" i="28"/>
  <c r="F425" i="28" s="1"/>
  <c r="R313" i="28"/>
  <c r="N313" i="28"/>
  <c r="O381" i="28" s="1"/>
  <c r="O393" i="28" s="1"/>
  <c r="J313" i="28"/>
  <c r="P316" i="28"/>
  <c r="L316" i="28"/>
  <c r="H316" i="28"/>
  <c r="S316" i="28"/>
  <c r="O316" i="28"/>
  <c r="K316" i="28"/>
  <c r="G317" i="28"/>
  <c r="R318" i="28"/>
  <c r="N318" i="28"/>
  <c r="J318" i="28"/>
  <c r="R319" i="28"/>
  <c r="N319" i="28"/>
  <c r="J319" i="28"/>
  <c r="Q313" i="28"/>
  <c r="R381" i="28" s="1"/>
  <c r="R393" i="28" s="1"/>
  <c r="M313" i="28"/>
  <c r="G425" i="28" s="1"/>
  <c r="I313" i="28"/>
  <c r="R316" i="28"/>
  <c r="N316" i="28"/>
  <c r="J316" i="28"/>
  <c r="R317" i="28"/>
  <c r="N317" i="28"/>
  <c r="J317" i="28"/>
  <c r="G318" i="28"/>
  <c r="Q318" i="28"/>
  <c r="M318" i="28"/>
  <c r="I318" i="28"/>
  <c r="K188" i="28"/>
  <c r="G187" i="28"/>
  <c r="F420" i="28" s="1"/>
  <c r="R189" i="28"/>
  <c r="S353" i="28" s="1"/>
  <c r="S389" i="28" s="1"/>
  <c r="N189" i="28"/>
  <c r="O353" i="28" s="1"/>
  <c r="O389" i="28" s="1"/>
  <c r="J189" i="28"/>
  <c r="S188" i="28"/>
  <c r="Q190" i="28"/>
  <c r="M190" i="28"/>
  <c r="G423" i="28" s="1"/>
  <c r="I190" i="28"/>
  <c r="P187" i="28"/>
  <c r="L187" i="28"/>
  <c r="H187" i="28"/>
  <c r="Q187" i="28"/>
  <c r="M187" i="28"/>
  <c r="G420" i="28" s="1"/>
  <c r="I187" i="28"/>
  <c r="G188" i="28"/>
  <c r="F421" i="28" s="1"/>
  <c r="R188" i="28"/>
  <c r="N188" i="28"/>
  <c r="O352" i="28" s="1"/>
  <c r="O388" i="28" s="1"/>
  <c r="J188" i="28"/>
  <c r="S189" i="28"/>
  <c r="I422" i="28" s="1"/>
  <c r="O189" i="28"/>
  <c r="P353" i="28" s="1"/>
  <c r="P389" i="28" s="1"/>
  <c r="K189" i="28"/>
  <c r="S190" i="28"/>
  <c r="O190" i="28"/>
  <c r="K190" i="28"/>
  <c r="G191" i="28"/>
  <c r="P191" i="28"/>
  <c r="L191" i="28"/>
  <c r="H191" i="28"/>
  <c r="Q188" i="28"/>
  <c r="R352" i="28" s="1"/>
  <c r="R388" i="28" s="1"/>
  <c r="M188" i="28"/>
  <c r="I188" i="28"/>
  <c r="R190" i="28"/>
  <c r="N190" i="28"/>
  <c r="J190" i="28"/>
  <c r="S191" i="28"/>
  <c r="O191" i="28"/>
  <c r="K191" i="28"/>
  <c r="S187" i="28"/>
  <c r="I420" i="28" s="1"/>
  <c r="O420" i="28" s="1"/>
  <c r="O187" i="28"/>
  <c r="K187" i="28"/>
  <c r="P188" i="28"/>
  <c r="Q352" i="28" s="1"/>
  <c r="Q388" i="28" s="1"/>
  <c r="L188" i="28"/>
  <c r="H188" i="28"/>
  <c r="Q189" i="28"/>
  <c r="R353" i="28" s="1"/>
  <c r="R389" i="28" s="1"/>
  <c r="I189" i="28"/>
  <c r="R191" i="28"/>
  <c r="N191" i="28"/>
  <c r="J191" i="28"/>
  <c r="R187" i="28"/>
  <c r="N187" i="28"/>
  <c r="J187" i="28"/>
  <c r="G189" i="28"/>
  <c r="F422" i="28" s="1"/>
  <c r="P189" i="28"/>
  <c r="Q353" i="28" s="1"/>
  <c r="Q389" i="28" s="1"/>
  <c r="L189" i="28"/>
  <c r="H189" i="28"/>
  <c r="G190" i="28"/>
  <c r="F423" i="28" s="1"/>
  <c r="P190" i="28"/>
  <c r="L190" i="28"/>
  <c r="H190" i="28"/>
  <c r="Q191" i="28"/>
  <c r="M191" i="28"/>
  <c r="I191" i="28"/>
  <c r="L420" i="28" l="1"/>
  <c r="M420" i="28"/>
  <c r="T398" i="28"/>
  <c r="S381" i="28"/>
  <c r="S393" i="28" s="1"/>
  <c r="M397" i="28"/>
  <c r="I425" i="28"/>
  <c r="I421" i="28"/>
  <c r="O421" i="28" s="1"/>
  <c r="Q432" i="28"/>
  <c r="G421" i="28"/>
  <c r="M432" i="28" s="1"/>
  <c r="N353" i="28"/>
  <c r="N389" i="28" s="1"/>
  <c r="U389" i="28" s="1"/>
  <c r="G422" i="28"/>
  <c r="M422" i="28" s="1"/>
  <c r="M394" i="28"/>
  <c r="L421" i="28"/>
  <c r="H420" i="28"/>
  <c r="N420" i="28" s="1"/>
  <c r="S352" i="28"/>
  <c r="S388" i="28" s="1"/>
  <c r="H421" i="28"/>
  <c r="N421" i="28" s="1"/>
  <c r="M425" i="28"/>
  <c r="N381" i="28"/>
  <c r="N393" i="28" s="1"/>
  <c r="N352" i="28"/>
  <c r="N388" i="28" s="1"/>
  <c r="P351" i="28"/>
  <c r="P387" i="28" s="1"/>
  <c r="N351" i="28"/>
  <c r="N387" i="28" s="1"/>
  <c r="Q351" i="28"/>
  <c r="Q387" i="28" s="1"/>
  <c r="O351" i="28"/>
  <c r="O387" i="28" s="1"/>
  <c r="R351" i="28"/>
  <c r="R387" i="28" s="1"/>
  <c r="S351" i="28"/>
  <c r="S387" i="28" s="1"/>
  <c r="M431" i="28"/>
  <c r="E431" i="28"/>
  <c r="L422" i="28"/>
  <c r="E432" i="28"/>
  <c r="L425" i="28"/>
  <c r="E433" i="28"/>
  <c r="H425" i="28"/>
  <c r="M423" i="28"/>
  <c r="L423" i="28"/>
  <c r="I423" i="28"/>
  <c r="H423" i="28"/>
  <c r="N423" i="28" s="1"/>
  <c r="H422" i="28"/>
  <c r="O422" i="28"/>
  <c r="H75" i="28"/>
  <c r="I75" i="28"/>
  <c r="J75" i="28"/>
  <c r="K75" i="28"/>
  <c r="L75" i="28"/>
  <c r="M75" i="28"/>
  <c r="N75" i="28"/>
  <c r="N304" i="28" s="1"/>
  <c r="O75" i="28"/>
  <c r="P75" i="28"/>
  <c r="Q75" i="28"/>
  <c r="R75" i="28"/>
  <c r="S75" i="28"/>
  <c r="G75" i="28"/>
  <c r="U387" i="28" l="1"/>
  <c r="U393" i="28"/>
  <c r="M421" i="28"/>
  <c r="J420" i="28"/>
  <c r="G431" i="28" s="1"/>
  <c r="U388" i="28"/>
  <c r="K420" i="28"/>
  <c r="Q420" i="28" s="1"/>
  <c r="M433" i="28"/>
  <c r="J421" i="28"/>
  <c r="P421" i="28" s="1"/>
  <c r="K421" i="28"/>
  <c r="Q421" i="28" s="1"/>
  <c r="F431" i="28"/>
  <c r="O425" i="28"/>
  <c r="N433" i="28"/>
  <c r="K425" i="28"/>
  <c r="N425" i="28"/>
  <c r="F433" i="28"/>
  <c r="F432" i="28"/>
  <c r="N432" i="28"/>
  <c r="N431" i="28"/>
  <c r="K422" i="28"/>
  <c r="Q422" i="28" s="1"/>
  <c r="J425" i="28"/>
  <c r="N422" i="28"/>
  <c r="J422" i="28"/>
  <c r="P422" i="28" s="1"/>
  <c r="M310" i="28"/>
  <c r="M300" i="28"/>
  <c r="M280" i="28"/>
  <c r="M290" i="28"/>
  <c r="M270" i="28"/>
  <c r="H310" i="28"/>
  <c r="H300" i="28"/>
  <c r="H280" i="28"/>
  <c r="H290" i="28"/>
  <c r="H270" i="28"/>
  <c r="Q310" i="28"/>
  <c r="Q300" i="28"/>
  <c r="Q280" i="28"/>
  <c r="Q290" i="28"/>
  <c r="Q270" i="28"/>
  <c r="L310" i="28"/>
  <c r="L300" i="28"/>
  <c r="L280" i="28"/>
  <c r="L290" i="28"/>
  <c r="L270" i="28"/>
  <c r="S310" i="28"/>
  <c r="S300" i="28"/>
  <c r="S280" i="28"/>
  <c r="S290" i="28"/>
  <c r="S270" i="28"/>
  <c r="O310" i="28"/>
  <c r="O300" i="28"/>
  <c r="O280" i="28"/>
  <c r="O290" i="28"/>
  <c r="O270" i="28"/>
  <c r="K310" i="28"/>
  <c r="K300" i="28"/>
  <c r="K280" i="28"/>
  <c r="K290" i="28"/>
  <c r="K270" i="28"/>
  <c r="I310" i="28"/>
  <c r="I300" i="28"/>
  <c r="I280" i="28"/>
  <c r="I290" i="28"/>
  <c r="I270" i="28"/>
  <c r="G310" i="28"/>
  <c r="G270" i="28"/>
  <c r="G300" i="28"/>
  <c r="G290" i="28"/>
  <c r="G280" i="28"/>
  <c r="P310" i="28"/>
  <c r="P300" i="28"/>
  <c r="P280" i="28"/>
  <c r="P290" i="28"/>
  <c r="P270" i="28"/>
  <c r="R310" i="28"/>
  <c r="R300" i="28"/>
  <c r="R280" i="28"/>
  <c r="R290" i="28"/>
  <c r="R270" i="28"/>
  <c r="N310" i="28"/>
  <c r="N300" i="28"/>
  <c r="N280" i="28"/>
  <c r="N290" i="28"/>
  <c r="N270" i="28"/>
  <c r="J310" i="28"/>
  <c r="J300" i="28"/>
  <c r="J280" i="28"/>
  <c r="J290" i="28"/>
  <c r="J270" i="28"/>
  <c r="P304" i="28"/>
  <c r="P294" i="28"/>
  <c r="P264" i="28"/>
  <c r="P284" i="28"/>
  <c r="P274" i="28"/>
  <c r="Q304" i="28"/>
  <c r="Q294" i="28"/>
  <c r="Q264" i="28"/>
  <c r="Q284" i="28"/>
  <c r="Q274" i="28"/>
  <c r="G294" i="28"/>
  <c r="G264" i="28"/>
  <c r="G304" i="28"/>
  <c r="G284" i="28"/>
  <c r="G274" i="28"/>
  <c r="H304" i="28"/>
  <c r="H294" i="28"/>
  <c r="H264" i="28"/>
  <c r="H284" i="28"/>
  <c r="H274" i="28"/>
  <c r="O284" i="28"/>
  <c r="O274" i="28"/>
  <c r="O304" i="28"/>
  <c r="O294" i="28"/>
  <c r="O264" i="28"/>
  <c r="K304" i="28"/>
  <c r="K284" i="28"/>
  <c r="K274" i="28"/>
  <c r="K294" i="28"/>
  <c r="K264" i="28"/>
  <c r="M304" i="28"/>
  <c r="M294" i="28"/>
  <c r="M264" i="28"/>
  <c r="M284" i="28"/>
  <c r="M274" i="28"/>
  <c r="I304" i="28"/>
  <c r="I294" i="28"/>
  <c r="I264" i="28"/>
  <c r="I284" i="28"/>
  <c r="I274" i="28"/>
  <c r="L304" i="28"/>
  <c r="L294" i="28"/>
  <c r="L264" i="28"/>
  <c r="L284" i="28"/>
  <c r="L274" i="28"/>
  <c r="S284" i="28"/>
  <c r="S274" i="28"/>
  <c r="S304" i="28"/>
  <c r="S294" i="28"/>
  <c r="S264" i="28"/>
  <c r="R304" i="28"/>
  <c r="R294" i="28"/>
  <c r="R264" i="28"/>
  <c r="R284" i="28"/>
  <c r="R274" i="28"/>
  <c r="N294" i="28"/>
  <c r="N264" i="28"/>
  <c r="N284" i="28"/>
  <c r="N274" i="28"/>
  <c r="J304" i="28"/>
  <c r="J294" i="28"/>
  <c r="J264" i="28"/>
  <c r="J284" i="28"/>
  <c r="J274" i="28"/>
  <c r="P420" i="28" l="1"/>
  <c r="G432" i="28"/>
  <c r="Q425" i="28"/>
  <c r="O433" i="28"/>
  <c r="O432" i="28"/>
  <c r="P425" i="28"/>
  <c r="G433" i="28"/>
  <c r="O431" i="28"/>
  <c r="R314" i="28"/>
  <c r="S382" i="28" s="1"/>
  <c r="S397" i="28" s="1"/>
  <c r="O314" i="28"/>
  <c r="P382" i="28" s="1"/>
  <c r="P397" i="28" s="1"/>
  <c r="N320" i="28"/>
  <c r="I320" i="28"/>
  <c r="L320" i="28"/>
  <c r="M314" i="28"/>
  <c r="G426" i="28" s="1"/>
  <c r="K314" i="28"/>
  <c r="Q314" i="28"/>
  <c r="R382" i="28" s="1"/>
  <c r="R397" i="28" s="1"/>
  <c r="K320" i="28"/>
  <c r="Q320" i="28"/>
  <c r="J314" i="28"/>
  <c r="L314" i="28"/>
  <c r="G314" i="28"/>
  <c r="P314" i="28"/>
  <c r="Q382" i="28" s="1"/>
  <c r="Q397" i="28" s="1"/>
  <c r="P320" i="28"/>
  <c r="O320" i="28"/>
  <c r="H320" i="28"/>
  <c r="R320" i="28"/>
  <c r="N314" i="28"/>
  <c r="O382" i="28" s="1"/>
  <c r="O397" i="28" s="1"/>
  <c r="S314" i="28"/>
  <c r="I426" i="28" s="1"/>
  <c r="I314" i="28"/>
  <c r="H314" i="28"/>
  <c r="J320" i="28"/>
  <c r="G320" i="28"/>
  <c r="S320" i="28"/>
  <c r="M320" i="28"/>
  <c r="J371" i="20"/>
  <c r="J374" i="20" s="1"/>
  <c r="J382" i="20" s="1"/>
  <c r="K371" i="20"/>
  <c r="K373" i="20" s="1"/>
  <c r="K381" i="20" s="1"/>
  <c r="L371" i="20"/>
  <c r="L374" i="20" s="1"/>
  <c r="L382" i="20" s="1"/>
  <c r="M371" i="20"/>
  <c r="N371" i="20"/>
  <c r="N374" i="20" s="1"/>
  <c r="N382" i="20" s="1"/>
  <c r="O371" i="20"/>
  <c r="O374" i="20" s="1"/>
  <c r="O382" i="20" s="1"/>
  <c r="P371" i="20"/>
  <c r="P373" i="20" s="1"/>
  <c r="P381" i="20" s="1"/>
  <c r="Q371" i="20"/>
  <c r="R371" i="20"/>
  <c r="S371" i="20"/>
  <c r="T371" i="20"/>
  <c r="U371" i="20"/>
  <c r="J352" i="20"/>
  <c r="J354" i="20" s="1"/>
  <c r="J362" i="20" s="1"/>
  <c r="K352" i="20"/>
  <c r="L352" i="20"/>
  <c r="L354" i="20" s="1"/>
  <c r="L362" i="20" s="1"/>
  <c r="M352" i="20"/>
  <c r="M355" i="20" s="1"/>
  <c r="M363" i="20" s="1"/>
  <c r="N352" i="20"/>
  <c r="N354" i="20" s="1"/>
  <c r="N362" i="20" s="1"/>
  <c r="O352" i="20"/>
  <c r="P352" i="20"/>
  <c r="P354" i="20" s="1"/>
  <c r="P362" i="20" s="1"/>
  <c r="Q352" i="20"/>
  <c r="R352" i="20"/>
  <c r="S352" i="20"/>
  <c r="T352" i="20"/>
  <c r="U352" i="20"/>
  <c r="J333" i="20"/>
  <c r="J336" i="20" s="1"/>
  <c r="J344" i="20" s="1"/>
  <c r="K333" i="20"/>
  <c r="K336" i="20" s="1"/>
  <c r="K344" i="20" s="1"/>
  <c r="L333" i="20"/>
  <c r="L334" i="20" s="1"/>
  <c r="L342" i="20" s="1"/>
  <c r="M333" i="20"/>
  <c r="M335" i="20" s="1"/>
  <c r="M343" i="20" s="1"/>
  <c r="N333" i="20"/>
  <c r="N335" i="20" s="1"/>
  <c r="N343" i="20" s="1"/>
  <c r="O333" i="20"/>
  <c r="O336" i="20" s="1"/>
  <c r="O344" i="20" s="1"/>
  <c r="P333" i="20"/>
  <c r="P336" i="20" s="1"/>
  <c r="P344" i="20" s="1"/>
  <c r="Q333" i="20"/>
  <c r="R333" i="20"/>
  <c r="S333" i="20"/>
  <c r="T333" i="20"/>
  <c r="U333" i="20"/>
  <c r="J314" i="20"/>
  <c r="J315" i="20" s="1"/>
  <c r="J323" i="20" s="1"/>
  <c r="K314" i="20"/>
  <c r="K316" i="20" s="1"/>
  <c r="K324" i="20" s="1"/>
  <c r="L314" i="20"/>
  <c r="M314" i="20"/>
  <c r="N314" i="20"/>
  <c r="N317" i="20" s="1"/>
  <c r="N325" i="20" s="1"/>
  <c r="O314" i="20"/>
  <c r="O317" i="20" s="1"/>
  <c r="O325" i="20" s="1"/>
  <c r="P314" i="20"/>
  <c r="Q314" i="20"/>
  <c r="R314" i="20"/>
  <c r="S314" i="20"/>
  <c r="T314" i="20"/>
  <c r="U314" i="20"/>
  <c r="J295" i="20"/>
  <c r="J297" i="20" s="1"/>
  <c r="J305" i="20" s="1"/>
  <c r="K295" i="20"/>
  <c r="K298" i="20" s="1"/>
  <c r="K306" i="20" s="1"/>
  <c r="L295" i="20"/>
  <c r="L297" i="20" s="1"/>
  <c r="L305" i="20" s="1"/>
  <c r="M295" i="20"/>
  <c r="M297" i="20" s="1"/>
  <c r="M305" i="20" s="1"/>
  <c r="N295" i="20"/>
  <c r="N298" i="20" s="1"/>
  <c r="N306" i="20" s="1"/>
  <c r="O295" i="20"/>
  <c r="O298" i="20" s="1"/>
  <c r="O306" i="20" s="1"/>
  <c r="P295" i="20"/>
  <c r="P298" i="20" s="1"/>
  <c r="P306" i="20" s="1"/>
  <c r="Q295" i="20"/>
  <c r="R295" i="20"/>
  <c r="S295" i="20"/>
  <c r="T295" i="20"/>
  <c r="U295" i="20"/>
  <c r="I371" i="20"/>
  <c r="I374" i="20" s="1"/>
  <c r="I382" i="20" s="1"/>
  <c r="I352" i="20"/>
  <c r="I354" i="20" s="1"/>
  <c r="I362" i="20" s="1"/>
  <c r="I333" i="20"/>
  <c r="I314" i="20"/>
  <c r="I315" i="20" s="1"/>
  <c r="I323" i="20" s="1"/>
  <c r="I295" i="20"/>
  <c r="I296" i="20" s="1"/>
  <c r="I304" i="20" s="1"/>
  <c r="J197" i="20"/>
  <c r="K197" i="20"/>
  <c r="L197" i="20"/>
  <c r="M197" i="20"/>
  <c r="N197" i="20"/>
  <c r="O197" i="20"/>
  <c r="P197" i="20"/>
  <c r="Q197" i="20"/>
  <c r="R197" i="20"/>
  <c r="S197" i="20"/>
  <c r="T197" i="20"/>
  <c r="U197" i="20"/>
  <c r="I197" i="20"/>
  <c r="J258" i="20"/>
  <c r="J261" i="20" s="1"/>
  <c r="J266" i="20" s="1"/>
  <c r="K258" i="20"/>
  <c r="K261" i="20" s="1"/>
  <c r="K266" i="20" s="1"/>
  <c r="L258" i="20"/>
  <c r="L262" i="20" s="1"/>
  <c r="M258" i="20"/>
  <c r="M262" i="20" s="1"/>
  <c r="N258" i="20"/>
  <c r="N262" i="20" s="1"/>
  <c r="O258" i="20"/>
  <c r="O262" i="20" s="1"/>
  <c r="P258" i="20"/>
  <c r="P263" i="20" s="1"/>
  <c r="P268" i="20" s="1"/>
  <c r="Q258" i="20"/>
  <c r="R258" i="20"/>
  <c r="S258" i="20"/>
  <c r="T258" i="20"/>
  <c r="U258" i="20"/>
  <c r="I258" i="20"/>
  <c r="I263" i="20" s="1"/>
  <c r="I268" i="20" s="1"/>
  <c r="J245" i="20"/>
  <c r="J247" i="20" s="1"/>
  <c r="K245" i="20"/>
  <c r="K250" i="20" s="1"/>
  <c r="K255" i="20" s="1"/>
  <c r="L245" i="20"/>
  <c r="L250" i="20" s="1"/>
  <c r="L255" i="20" s="1"/>
  <c r="M245" i="20"/>
  <c r="M250" i="20" s="1"/>
  <c r="M255" i="20" s="1"/>
  <c r="N245" i="20"/>
  <c r="N248" i="20" s="1"/>
  <c r="N253" i="20" s="1"/>
  <c r="O245" i="20"/>
  <c r="O247" i="20" s="1"/>
  <c r="P245" i="20"/>
  <c r="P249" i="20" s="1"/>
  <c r="Q245" i="20"/>
  <c r="R245" i="20"/>
  <c r="S245" i="20"/>
  <c r="T245" i="20"/>
  <c r="U245" i="20"/>
  <c r="I245" i="20"/>
  <c r="I248" i="20" s="1"/>
  <c r="I253" i="20" s="1"/>
  <c r="J232" i="20"/>
  <c r="J237" i="20" s="1"/>
  <c r="J242" i="20" s="1"/>
  <c r="K232" i="20"/>
  <c r="K236" i="20" s="1"/>
  <c r="L232" i="20"/>
  <c r="L237" i="20" s="1"/>
  <c r="L242" i="20" s="1"/>
  <c r="M232" i="20"/>
  <c r="M237" i="20" s="1"/>
  <c r="M242" i="20" s="1"/>
  <c r="N232" i="20"/>
  <c r="N235" i="20" s="1"/>
  <c r="N240" i="20" s="1"/>
  <c r="O232" i="20"/>
  <c r="O236" i="20" s="1"/>
  <c r="P232" i="20"/>
  <c r="P237" i="20" s="1"/>
  <c r="P242" i="20" s="1"/>
  <c r="Q232" i="20"/>
  <c r="R232" i="20"/>
  <c r="S232" i="20"/>
  <c r="T232" i="20"/>
  <c r="U232" i="20"/>
  <c r="I232" i="20"/>
  <c r="I236" i="20" s="1"/>
  <c r="J219" i="20"/>
  <c r="J221" i="20" s="1"/>
  <c r="K219" i="20"/>
  <c r="K222" i="20" s="1"/>
  <c r="K227" i="20" s="1"/>
  <c r="L219" i="20"/>
  <c r="L221" i="20" s="1"/>
  <c r="M219" i="20"/>
  <c r="M224" i="20" s="1"/>
  <c r="M229" i="20" s="1"/>
  <c r="N219" i="20"/>
  <c r="N223" i="20" s="1"/>
  <c r="O219" i="20"/>
  <c r="O224" i="20" s="1"/>
  <c r="O229" i="20" s="1"/>
  <c r="P219" i="20"/>
  <c r="P222" i="20" s="1"/>
  <c r="P227" i="20" s="1"/>
  <c r="Q219" i="20"/>
  <c r="Q221" i="20" s="1"/>
  <c r="R219" i="20"/>
  <c r="R221" i="20" s="1"/>
  <c r="R226" i="20" s="1"/>
  <c r="S219" i="20"/>
  <c r="T219" i="20"/>
  <c r="U219" i="20"/>
  <c r="I219" i="20"/>
  <c r="I224" i="20" s="1"/>
  <c r="I229" i="20" s="1"/>
  <c r="J206" i="20"/>
  <c r="K206" i="20"/>
  <c r="K211" i="20" s="1"/>
  <c r="K216" i="20" s="1"/>
  <c r="L206" i="20"/>
  <c r="L210" i="20" s="1"/>
  <c r="M206" i="20"/>
  <c r="M209" i="20" s="1"/>
  <c r="M214" i="20" s="1"/>
  <c r="N206" i="20"/>
  <c r="N211" i="20" s="1"/>
  <c r="N216" i="20" s="1"/>
  <c r="O206" i="20"/>
  <c r="O211" i="20" s="1"/>
  <c r="O216" i="20" s="1"/>
  <c r="P206" i="20"/>
  <c r="P211" i="20" s="1"/>
  <c r="P216" i="20" s="1"/>
  <c r="Q206" i="20"/>
  <c r="Q207" i="20" s="1"/>
  <c r="R206" i="20"/>
  <c r="S206" i="20"/>
  <c r="T206" i="20"/>
  <c r="U206" i="20"/>
  <c r="J156" i="20"/>
  <c r="K156" i="20"/>
  <c r="L156" i="20"/>
  <c r="M156" i="20"/>
  <c r="N156" i="20"/>
  <c r="O156" i="20"/>
  <c r="P156" i="20"/>
  <c r="Q156" i="20"/>
  <c r="R156" i="20"/>
  <c r="S156" i="20"/>
  <c r="T156" i="20"/>
  <c r="U156" i="20"/>
  <c r="J154" i="20"/>
  <c r="K154" i="20"/>
  <c r="L154" i="20"/>
  <c r="M154" i="20"/>
  <c r="N154" i="20"/>
  <c r="O154" i="20"/>
  <c r="P154" i="20"/>
  <c r="Q154" i="20"/>
  <c r="R154" i="20"/>
  <c r="S154" i="20"/>
  <c r="T154" i="20"/>
  <c r="U154" i="20"/>
  <c r="J152" i="20"/>
  <c r="K152" i="20"/>
  <c r="L152" i="20"/>
  <c r="M152" i="20"/>
  <c r="N152" i="20"/>
  <c r="O152" i="20"/>
  <c r="P152" i="20"/>
  <c r="Q152" i="20"/>
  <c r="R152" i="20"/>
  <c r="S152" i="20"/>
  <c r="T152" i="20"/>
  <c r="U152" i="20"/>
  <c r="J150" i="20"/>
  <c r="K150" i="20"/>
  <c r="L150" i="20"/>
  <c r="M150" i="20"/>
  <c r="O150" i="20"/>
  <c r="P150" i="20"/>
  <c r="Q150" i="20"/>
  <c r="R150" i="20"/>
  <c r="S150" i="20"/>
  <c r="T150" i="20"/>
  <c r="U150" i="20"/>
  <c r="J148" i="20"/>
  <c r="K148" i="20"/>
  <c r="L148" i="20"/>
  <c r="M148" i="20"/>
  <c r="N148" i="20"/>
  <c r="O148" i="20"/>
  <c r="P148" i="20"/>
  <c r="Q148" i="20"/>
  <c r="R148" i="20"/>
  <c r="S148" i="20"/>
  <c r="T148" i="20"/>
  <c r="U148" i="20"/>
  <c r="I156" i="20"/>
  <c r="I154" i="20"/>
  <c r="I152" i="20"/>
  <c r="I150" i="20"/>
  <c r="I148" i="20"/>
  <c r="J79" i="20"/>
  <c r="F29" i="5" s="1"/>
  <c r="F181" i="5" s="1"/>
  <c r="K79" i="20"/>
  <c r="G29" i="5" s="1"/>
  <c r="G181" i="5" s="1"/>
  <c r="L79" i="20"/>
  <c r="H29" i="5" s="1"/>
  <c r="H181" i="5" s="1"/>
  <c r="M79" i="20"/>
  <c r="I29" i="5" s="1"/>
  <c r="I181" i="5" s="1"/>
  <c r="N79" i="20"/>
  <c r="J29" i="5" s="1"/>
  <c r="J181" i="5" s="1"/>
  <c r="O79" i="20"/>
  <c r="K29" i="5" s="1"/>
  <c r="K181" i="5" s="1"/>
  <c r="P79" i="20"/>
  <c r="L29" i="5" s="1"/>
  <c r="L181" i="5" s="1"/>
  <c r="Q79" i="20"/>
  <c r="M29" i="5" s="1"/>
  <c r="M181" i="5" s="1"/>
  <c r="R79" i="20"/>
  <c r="N29" i="5" s="1"/>
  <c r="N181" i="5" s="1"/>
  <c r="S79" i="20"/>
  <c r="O29" i="5" s="1"/>
  <c r="O181" i="5" s="1"/>
  <c r="T79" i="20"/>
  <c r="P29" i="5" s="1"/>
  <c r="P181" i="5" s="1"/>
  <c r="V79" i="20"/>
  <c r="O157" i="20" l="1"/>
  <c r="K263" i="20"/>
  <c r="K268" i="20" s="1"/>
  <c r="J157" i="20"/>
  <c r="K157" i="20"/>
  <c r="L157" i="20"/>
  <c r="Q157" i="20"/>
  <c r="N82" i="5"/>
  <c r="J82" i="5"/>
  <c r="O394" i="28"/>
  <c r="Q394" i="28"/>
  <c r="P394" i="28"/>
  <c r="S394" i="28"/>
  <c r="R394" i="28"/>
  <c r="M434" i="28"/>
  <c r="N382" i="28"/>
  <c r="F426" i="28"/>
  <c r="E434" i="28" s="1"/>
  <c r="I209" i="20"/>
  <c r="I214" i="20" s="1"/>
  <c r="J208" i="20"/>
  <c r="J207" i="20"/>
  <c r="J212" i="20" s="1"/>
  <c r="H82" i="5"/>
  <c r="P82" i="5"/>
  <c r="L82" i="5"/>
  <c r="O82" i="5"/>
  <c r="K82" i="5"/>
  <c r="G82" i="5"/>
  <c r="F82" i="5"/>
  <c r="M82" i="5"/>
  <c r="I82" i="5"/>
  <c r="P157" i="20"/>
  <c r="H426" i="28"/>
  <c r="J298" i="20"/>
  <c r="J306" i="20" s="1"/>
  <c r="J373" i="20"/>
  <c r="J381" i="20" s="1"/>
  <c r="J316" i="20"/>
  <c r="J324" i="20" s="1"/>
  <c r="N355" i="20"/>
  <c r="N363" i="20" s="1"/>
  <c r="O315" i="20"/>
  <c r="O323" i="20" s="1"/>
  <c r="N297" i="20"/>
  <c r="N305" i="20" s="1"/>
  <c r="J335" i="20"/>
  <c r="J343" i="20" s="1"/>
  <c r="N157" i="20"/>
  <c r="K317" i="20"/>
  <c r="K325" i="20" s="1"/>
  <c r="I222" i="20"/>
  <c r="I227" i="20" s="1"/>
  <c r="P374" i="20"/>
  <c r="P382" i="20" s="1"/>
  <c r="O221" i="20"/>
  <c r="N296" i="20"/>
  <c r="N304" i="20" s="1"/>
  <c r="I298" i="20"/>
  <c r="I306" i="20" s="1"/>
  <c r="J296" i="20"/>
  <c r="J304" i="20" s="1"/>
  <c r="I297" i="20"/>
  <c r="I305" i="20" s="1"/>
  <c r="J317" i="20"/>
  <c r="J325" i="20" s="1"/>
  <c r="N353" i="20"/>
  <c r="N361" i="20" s="1"/>
  <c r="N372" i="20"/>
  <c r="N380" i="20" s="1"/>
  <c r="P248" i="20"/>
  <c r="P253" i="20" s="1"/>
  <c r="N336" i="20"/>
  <c r="N344" i="20" s="1"/>
  <c r="J355" i="20"/>
  <c r="J363" i="20" s="1"/>
  <c r="I373" i="20"/>
  <c r="I381" i="20" s="1"/>
  <c r="N315" i="20"/>
  <c r="N323" i="20" s="1"/>
  <c r="J334" i="20"/>
  <c r="J342" i="20" s="1"/>
  <c r="J353" i="20"/>
  <c r="J361" i="20" s="1"/>
  <c r="N373" i="20"/>
  <c r="N381" i="20" s="1"/>
  <c r="L335" i="20"/>
  <c r="L343" i="20" s="1"/>
  <c r="N246" i="20"/>
  <c r="N251" i="20" s="1"/>
  <c r="O233" i="20"/>
  <c r="O238" i="20" s="1"/>
  <c r="I260" i="20"/>
  <c r="P296" i="20"/>
  <c r="P304" i="20" s="1"/>
  <c r="P297" i="20"/>
  <c r="P305" i="20" s="1"/>
  <c r="P355" i="20"/>
  <c r="P363" i="20" s="1"/>
  <c r="O237" i="20"/>
  <c r="O242" i="20" s="1"/>
  <c r="P335" i="20"/>
  <c r="P343" i="20" s="1"/>
  <c r="L336" i="20"/>
  <c r="L344" i="20" s="1"/>
  <c r="I261" i="20"/>
  <c r="I266" i="20" s="1"/>
  <c r="I208" i="20"/>
  <c r="K223" i="20"/>
  <c r="N263" i="20"/>
  <c r="N268" i="20" s="1"/>
  <c r="J209" i="20"/>
  <c r="J214" i="20" s="1"/>
  <c r="I259" i="20"/>
  <c r="I264" i="20" s="1"/>
  <c r="N221" i="20"/>
  <c r="K237" i="20"/>
  <c r="K242" i="20" s="1"/>
  <c r="M207" i="20"/>
  <c r="M212" i="20" s="1"/>
  <c r="M211" i="20"/>
  <c r="M216" i="20" s="1"/>
  <c r="I221" i="20"/>
  <c r="J223" i="20"/>
  <c r="O235" i="20"/>
  <c r="O240" i="20" s="1"/>
  <c r="L298" i="20"/>
  <c r="L306" i="20" s="1"/>
  <c r="P334" i="20"/>
  <c r="P342" i="20" s="1"/>
  <c r="L353" i="20"/>
  <c r="L361" i="20" s="1"/>
  <c r="L373" i="20"/>
  <c r="L381" i="20" s="1"/>
  <c r="M210" i="20"/>
  <c r="K233" i="20"/>
  <c r="K238" i="20" s="1"/>
  <c r="L249" i="20"/>
  <c r="N220" i="20"/>
  <c r="N225" i="20" s="1"/>
  <c r="J222" i="20"/>
  <c r="J227" i="20" s="1"/>
  <c r="N224" i="20"/>
  <c r="N229" i="20" s="1"/>
  <c r="K235" i="20"/>
  <c r="K240" i="20" s="1"/>
  <c r="L246" i="20"/>
  <c r="L251" i="20" s="1"/>
  <c r="I212" i="20"/>
  <c r="P372" i="20"/>
  <c r="P380" i="20" s="1"/>
  <c r="I317" i="20"/>
  <c r="I325" i="20" s="1"/>
  <c r="K209" i="20"/>
  <c r="K214" i="20" s="1"/>
  <c r="L296" i="20"/>
  <c r="L304" i="20" s="1"/>
  <c r="P353" i="20"/>
  <c r="P361" i="20" s="1"/>
  <c r="L355" i="20"/>
  <c r="L363" i="20" s="1"/>
  <c r="L372" i="20"/>
  <c r="L380" i="20" s="1"/>
  <c r="K207" i="20"/>
  <c r="K212" i="20" s="1"/>
  <c r="M296" i="20"/>
  <c r="M304" i="20" s="1"/>
  <c r="M298" i="20"/>
  <c r="M306" i="20" s="1"/>
  <c r="I316" i="20"/>
  <c r="I324" i="20" s="1"/>
  <c r="M353" i="20"/>
  <c r="M361" i="20" s="1"/>
  <c r="M354" i="20"/>
  <c r="M362" i="20" s="1"/>
  <c r="I246" i="20"/>
  <c r="I251" i="20" s="1"/>
  <c r="J249" i="20"/>
  <c r="O208" i="20"/>
  <c r="O210" i="20"/>
  <c r="I247" i="20"/>
  <c r="J250" i="20"/>
  <c r="J255" i="20" s="1"/>
  <c r="N208" i="20"/>
  <c r="J211" i="20"/>
  <c r="J216" i="20" s="1"/>
  <c r="K220" i="20"/>
  <c r="K225" i="20" s="1"/>
  <c r="O222" i="20"/>
  <c r="O227" i="20" s="1"/>
  <c r="K224" i="20"/>
  <c r="K229" i="20" s="1"/>
  <c r="N259" i="20"/>
  <c r="N264" i="20" s="1"/>
  <c r="N260" i="20"/>
  <c r="N261" i="20"/>
  <c r="N266" i="20" s="1"/>
  <c r="O316" i="20"/>
  <c r="O324" i="20" s="1"/>
  <c r="I355" i="20"/>
  <c r="I363" i="20" s="1"/>
  <c r="M208" i="20"/>
  <c r="I210" i="20"/>
  <c r="I211" i="20"/>
  <c r="I216" i="20" s="1"/>
  <c r="J220" i="20"/>
  <c r="J225" i="20" s="1"/>
  <c r="K221" i="20"/>
  <c r="N222" i="20"/>
  <c r="N227" i="20" s="1"/>
  <c r="O223" i="20"/>
  <c r="I223" i="20"/>
  <c r="J224" i="20"/>
  <c r="J229" i="20" s="1"/>
  <c r="O234" i="20"/>
  <c r="P246" i="20"/>
  <c r="P251" i="20" s="1"/>
  <c r="P247" i="20"/>
  <c r="L248" i="20"/>
  <c r="L253" i="20" s="1"/>
  <c r="P250" i="20"/>
  <c r="P255" i="20" s="1"/>
  <c r="M259" i="20"/>
  <c r="M264" i="20" s="1"/>
  <c r="M260" i="20"/>
  <c r="M261" i="20"/>
  <c r="M266" i="20" s="1"/>
  <c r="J262" i="20"/>
  <c r="J263" i="20"/>
  <c r="J268" i="20" s="1"/>
  <c r="K315" i="20"/>
  <c r="K323" i="20" s="1"/>
  <c r="N316" i="20"/>
  <c r="N324" i="20" s="1"/>
  <c r="N334" i="20"/>
  <c r="N342" i="20" s="1"/>
  <c r="J372" i="20"/>
  <c r="J380" i="20" s="1"/>
  <c r="N209" i="20"/>
  <c r="N214" i="20" s="1"/>
  <c r="J210" i="20"/>
  <c r="O334" i="20"/>
  <c r="O342" i="20" s="1"/>
  <c r="I353" i="20"/>
  <c r="I361" i="20" s="1"/>
  <c r="N207" i="20"/>
  <c r="N212" i="20" s="1"/>
  <c r="N210" i="20"/>
  <c r="O220" i="20"/>
  <c r="O225" i="20" s="1"/>
  <c r="I220" i="20"/>
  <c r="I225" i="20" s="1"/>
  <c r="K234" i="20"/>
  <c r="L247" i="20"/>
  <c r="J259" i="20"/>
  <c r="J264" i="20" s="1"/>
  <c r="J260" i="20"/>
  <c r="I262" i="20"/>
  <c r="O296" i="20"/>
  <c r="O304" i="20" s="1"/>
  <c r="K296" i="20"/>
  <c r="K304" i="20" s="1"/>
  <c r="O297" i="20"/>
  <c r="O305" i="20" s="1"/>
  <c r="K297" i="20"/>
  <c r="K305" i="20" s="1"/>
  <c r="I372" i="20"/>
  <c r="I380" i="20" s="1"/>
  <c r="K208" i="20"/>
  <c r="K210" i="20"/>
  <c r="P220" i="20"/>
  <c r="P225" i="20" s="1"/>
  <c r="L223" i="20"/>
  <c r="P224" i="20"/>
  <c r="P229" i="20" s="1"/>
  <c r="J246" i="20"/>
  <c r="J251" i="20" s="1"/>
  <c r="N250" i="20"/>
  <c r="N255" i="20" s="1"/>
  <c r="K372" i="20"/>
  <c r="K380" i="20" s="1"/>
  <c r="O373" i="20"/>
  <c r="O381" i="20" s="1"/>
  <c r="O335" i="20"/>
  <c r="O343" i="20" s="1"/>
  <c r="K335" i="20"/>
  <c r="K343" i="20" s="1"/>
  <c r="O353" i="20"/>
  <c r="O361" i="20" s="1"/>
  <c r="K353" i="20"/>
  <c r="K361" i="20" s="1"/>
  <c r="O354" i="20"/>
  <c r="O362" i="20" s="1"/>
  <c r="K354" i="20"/>
  <c r="K362" i="20" s="1"/>
  <c r="O355" i="20"/>
  <c r="O363" i="20" s="1"/>
  <c r="K355" i="20"/>
  <c r="K363" i="20" s="1"/>
  <c r="O372" i="20"/>
  <c r="O380" i="20" s="1"/>
  <c r="K334" i="20"/>
  <c r="K342" i="20" s="1"/>
  <c r="K374" i="20"/>
  <c r="K382" i="20" s="1"/>
  <c r="O207" i="20"/>
  <c r="O212" i="20" s="1"/>
  <c r="O209" i="20"/>
  <c r="O214" i="20" s="1"/>
  <c r="L220" i="20"/>
  <c r="L225" i="20" s="1"/>
  <c r="P221" i="20"/>
  <c r="L224" i="20"/>
  <c r="L229" i="20" s="1"/>
  <c r="N247" i="20"/>
  <c r="I250" i="20"/>
  <c r="I255" i="20" s="1"/>
  <c r="M372" i="20"/>
  <c r="M380" i="20" s="1"/>
  <c r="M373" i="20"/>
  <c r="M381" i="20" s="1"/>
  <c r="M374" i="20"/>
  <c r="M382" i="20" s="1"/>
  <c r="M334" i="20"/>
  <c r="M342" i="20" s="1"/>
  <c r="M336" i="20"/>
  <c r="M344" i="20" s="1"/>
  <c r="M315" i="20"/>
  <c r="M323" i="20" s="1"/>
  <c r="M316" i="20"/>
  <c r="M324" i="20" s="1"/>
  <c r="M317" i="20"/>
  <c r="M325" i="20" s="1"/>
  <c r="P315" i="20"/>
  <c r="P323" i="20" s="1"/>
  <c r="L315" i="20"/>
  <c r="L323" i="20" s="1"/>
  <c r="P316" i="20"/>
  <c r="P324" i="20" s="1"/>
  <c r="L316" i="20"/>
  <c r="L324" i="20" s="1"/>
  <c r="P317" i="20"/>
  <c r="P325" i="20" s="1"/>
  <c r="L317" i="20"/>
  <c r="L325" i="20" s="1"/>
  <c r="I334" i="20"/>
  <c r="I342" i="20" s="1"/>
  <c r="I335" i="20"/>
  <c r="I343" i="20" s="1"/>
  <c r="I336" i="20"/>
  <c r="I344" i="20" s="1"/>
  <c r="I233" i="20"/>
  <c r="I238" i="20" s="1"/>
  <c r="O246" i="20"/>
  <c r="O251" i="20" s="1"/>
  <c r="O250" i="20"/>
  <c r="O255" i="20" s="1"/>
  <c r="K249" i="20"/>
  <c r="L263" i="20"/>
  <c r="L268" i="20" s="1"/>
  <c r="J234" i="20"/>
  <c r="N236" i="20"/>
  <c r="I237" i="20"/>
  <c r="I242" i="20" s="1"/>
  <c r="K248" i="20"/>
  <c r="K253" i="20" s="1"/>
  <c r="O249" i="20"/>
  <c r="L211" i="20"/>
  <c r="L216" i="20" s="1"/>
  <c r="L222" i="20"/>
  <c r="L227" i="20" s="1"/>
  <c r="P223" i="20"/>
  <c r="N234" i="20"/>
  <c r="I235" i="20"/>
  <c r="I240" i="20" s="1"/>
  <c r="J236" i="20"/>
  <c r="K247" i="20"/>
  <c r="O248" i="20"/>
  <c r="O253" i="20" s="1"/>
  <c r="J248" i="20"/>
  <c r="J253" i="20" s="1"/>
  <c r="N249" i="20"/>
  <c r="I249" i="20"/>
  <c r="P259" i="20"/>
  <c r="P264" i="20" s="1"/>
  <c r="L259" i="20"/>
  <c r="L264" i="20" s="1"/>
  <c r="P260" i="20"/>
  <c r="L260" i="20"/>
  <c r="P261" i="20"/>
  <c r="P266" i="20" s="1"/>
  <c r="L261" i="20"/>
  <c r="L266" i="20" s="1"/>
  <c r="P262" i="20"/>
  <c r="K262" i="20"/>
  <c r="O263" i="20"/>
  <c r="O268" i="20" s="1"/>
  <c r="N233" i="20"/>
  <c r="N238" i="20" s="1"/>
  <c r="I234" i="20"/>
  <c r="J235" i="20"/>
  <c r="J240" i="20" s="1"/>
  <c r="N237" i="20"/>
  <c r="N242" i="20" s="1"/>
  <c r="P207" i="20"/>
  <c r="P212" i="20" s="1"/>
  <c r="L207" i="20"/>
  <c r="L212" i="20" s="1"/>
  <c r="P208" i="20"/>
  <c r="L208" i="20"/>
  <c r="P209" i="20"/>
  <c r="P214" i="20" s="1"/>
  <c r="L209" i="20"/>
  <c r="L214" i="20" s="1"/>
  <c r="P210" i="20"/>
  <c r="J233" i="20"/>
  <c r="J238" i="20" s="1"/>
  <c r="K246" i="20"/>
  <c r="K251" i="20" s="1"/>
  <c r="O259" i="20"/>
  <c r="O264" i="20" s="1"/>
  <c r="K259" i="20"/>
  <c r="K264" i="20" s="1"/>
  <c r="O260" i="20"/>
  <c r="K260" i="20"/>
  <c r="O261" i="20"/>
  <c r="O266" i="20" s="1"/>
  <c r="M263" i="20"/>
  <c r="M268" i="20" s="1"/>
  <c r="M246" i="20"/>
  <c r="M251" i="20" s="1"/>
  <c r="M247" i="20"/>
  <c r="M248" i="20"/>
  <c r="M253" i="20" s="1"/>
  <c r="M249" i="20"/>
  <c r="M233" i="20"/>
  <c r="M238" i="20" s="1"/>
  <c r="M234" i="20"/>
  <c r="M235" i="20"/>
  <c r="M240" i="20" s="1"/>
  <c r="M236" i="20"/>
  <c r="P233" i="20"/>
  <c r="P238" i="20" s="1"/>
  <c r="L233" i="20"/>
  <c r="L238" i="20" s="1"/>
  <c r="P234" i="20"/>
  <c r="L234" i="20"/>
  <c r="P235" i="20"/>
  <c r="P240" i="20" s="1"/>
  <c r="L235" i="20"/>
  <c r="L240" i="20" s="1"/>
  <c r="P236" i="20"/>
  <c r="L236" i="20"/>
  <c r="M220" i="20"/>
  <c r="M225" i="20" s="1"/>
  <c r="M221" i="20"/>
  <c r="M222" i="20"/>
  <c r="M227" i="20" s="1"/>
  <c r="M223" i="20"/>
  <c r="M157" i="20"/>
  <c r="I157" i="20"/>
  <c r="N397" i="28" l="1"/>
  <c r="T397" i="28" s="1"/>
  <c r="U398" i="28" s="1"/>
  <c r="N394" i="28"/>
  <c r="U394" i="28" s="1"/>
  <c r="U395" i="28" s="1"/>
  <c r="K426" i="28"/>
  <c r="Q426" i="28" s="1"/>
  <c r="M426" i="28"/>
  <c r="L426" i="28"/>
  <c r="N426" i="28"/>
  <c r="F434" i="28"/>
  <c r="O426" i="28"/>
  <c r="N434" i="28"/>
  <c r="J426" i="28"/>
  <c r="O434" i="28" l="1"/>
  <c r="P426" i="28"/>
  <c r="G434" i="28"/>
  <c r="H111" i="2" l="1"/>
  <c r="H114" i="2" l="1"/>
  <c r="E6" i="5" s="1"/>
  <c r="E160" i="5" s="1"/>
  <c r="E180" i="5"/>
  <c r="E60" i="5" l="1"/>
  <c r="E36" i="5"/>
  <c r="E174" i="5" s="1"/>
  <c r="E176" i="5" s="1"/>
  <c r="E23" i="5"/>
  <c r="E152" i="5" s="1"/>
  <c r="E157" i="5" s="1"/>
  <c r="E216" i="5" l="1"/>
  <c r="E173" i="5"/>
  <c r="E175" i="5" s="1"/>
  <c r="E43" i="5"/>
  <c r="E39" i="5"/>
  <c r="E40" i="5"/>
  <c r="E38" i="5"/>
  <c r="E41" i="5"/>
  <c r="E42" i="5"/>
  <c r="E37" i="5"/>
  <c r="E215" i="5" l="1"/>
  <c r="D287" i="20" l="1"/>
  <c r="U79" i="20"/>
  <c r="Q29" i="5" l="1"/>
  <c r="Q181" i="5" s="1"/>
  <c r="S300" i="20"/>
  <c r="L376" i="20"/>
  <c r="L384" i="20" s="1"/>
  <c r="I357" i="20"/>
  <c r="I365" i="20" s="1"/>
  <c r="M357" i="20"/>
  <c r="M365" i="20" s="1"/>
  <c r="K338" i="20"/>
  <c r="K346" i="20" s="1"/>
  <c r="P338" i="20"/>
  <c r="P346" i="20" s="1"/>
  <c r="N319" i="20"/>
  <c r="N327" i="20" s="1"/>
  <c r="K300" i="20"/>
  <c r="K308" i="20" s="1"/>
  <c r="O300" i="20"/>
  <c r="O308" i="20" s="1"/>
  <c r="I376" i="20"/>
  <c r="I384" i="20" s="1"/>
  <c r="N376" i="20"/>
  <c r="N384" i="20" s="1"/>
  <c r="J357" i="20"/>
  <c r="J365" i="20" s="1"/>
  <c r="N357" i="20"/>
  <c r="N365" i="20" s="1"/>
  <c r="L338" i="20"/>
  <c r="L346" i="20" s="1"/>
  <c r="I319" i="20"/>
  <c r="I327" i="20" s="1"/>
  <c r="O319" i="20"/>
  <c r="O327" i="20" s="1"/>
  <c r="L300" i="20"/>
  <c r="L308" i="20" s="1"/>
  <c r="P300" i="20"/>
  <c r="P308" i="20" s="1"/>
  <c r="J376" i="20"/>
  <c r="J384" i="20" s="1"/>
  <c r="N338" i="20"/>
  <c r="N346" i="20" s="1"/>
  <c r="J319" i="20"/>
  <c r="J327" i="20" s="1"/>
  <c r="I300" i="20"/>
  <c r="I308" i="20" s="1"/>
  <c r="M300" i="20"/>
  <c r="M308" i="20" s="1"/>
  <c r="P376" i="20"/>
  <c r="P384" i="20" s="1"/>
  <c r="L357" i="20"/>
  <c r="L365" i="20" s="1"/>
  <c r="P357" i="20"/>
  <c r="P365" i="20" s="1"/>
  <c r="J338" i="20"/>
  <c r="J346" i="20" s="1"/>
  <c r="O338" i="20"/>
  <c r="O346" i="20" s="1"/>
  <c r="K319" i="20"/>
  <c r="K327" i="20" s="1"/>
  <c r="J300" i="20"/>
  <c r="J308" i="20" s="1"/>
  <c r="N300" i="20"/>
  <c r="N308" i="20" s="1"/>
  <c r="K376" i="20"/>
  <c r="K384" i="20" s="1"/>
  <c r="O357" i="20"/>
  <c r="O365" i="20" s="1"/>
  <c r="K357" i="20"/>
  <c r="K365" i="20" s="1"/>
  <c r="O376" i="20"/>
  <c r="O384" i="20" s="1"/>
  <c r="M376" i="20"/>
  <c r="M384" i="20" s="1"/>
  <c r="M338" i="20"/>
  <c r="M346" i="20" s="1"/>
  <c r="M319" i="20"/>
  <c r="M327" i="20" s="1"/>
  <c r="P319" i="20"/>
  <c r="P327" i="20" s="1"/>
  <c r="L319" i="20"/>
  <c r="L327" i="20" s="1"/>
  <c r="I338" i="20"/>
  <c r="I346" i="20" s="1"/>
  <c r="T181" i="5" l="1"/>
  <c r="S181" i="5"/>
  <c r="Q82" i="5"/>
  <c r="E98" i="5"/>
  <c r="Q234" i="20"/>
  <c r="Q211" i="20"/>
  <c r="Q216" i="20" s="1"/>
  <c r="J112" i="20"/>
  <c r="K112" i="20"/>
  <c r="L112" i="20"/>
  <c r="M112" i="20"/>
  <c r="N112" i="20"/>
  <c r="O112" i="20"/>
  <c r="P112" i="20"/>
  <c r="Q112" i="20"/>
  <c r="R112" i="20"/>
  <c r="S112" i="20"/>
  <c r="T112" i="20"/>
  <c r="U112" i="20"/>
  <c r="I112" i="20"/>
  <c r="J111" i="20"/>
  <c r="K111" i="20"/>
  <c r="L111" i="20"/>
  <c r="M111" i="20"/>
  <c r="N111" i="20"/>
  <c r="O111" i="20"/>
  <c r="P111" i="20"/>
  <c r="Q111" i="20"/>
  <c r="R111" i="20"/>
  <c r="S111" i="20"/>
  <c r="T111" i="20"/>
  <c r="U111" i="20"/>
  <c r="I111" i="20"/>
  <c r="I70" i="7"/>
  <c r="J70" i="7"/>
  <c r="K70" i="7"/>
  <c r="L70" i="7"/>
  <c r="M70" i="7"/>
  <c r="N70" i="7"/>
  <c r="O70" i="7"/>
  <c r="P70" i="7"/>
  <c r="Q70" i="7"/>
  <c r="R70" i="7"/>
  <c r="S70" i="7"/>
  <c r="T70" i="7"/>
  <c r="H70" i="7"/>
  <c r="Q212" i="20" l="1"/>
  <c r="I113" i="20"/>
  <c r="I200" i="20" s="1"/>
  <c r="N113" i="20"/>
  <c r="N200" i="20" s="1"/>
  <c r="R113" i="20"/>
  <c r="R200" i="20" s="1"/>
  <c r="T113" i="20"/>
  <c r="T200" i="20" s="1"/>
  <c r="P113" i="20"/>
  <c r="P200" i="20" s="1"/>
  <c r="L113" i="20"/>
  <c r="L200" i="20" s="1"/>
  <c r="S113" i="20"/>
  <c r="S200" i="20" s="1"/>
  <c r="O113" i="20"/>
  <c r="O200" i="20" s="1"/>
  <c r="K113" i="20"/>
  <c r="K200" i="20" s="1"/>
  <c r="U113" i="20"/>
  <c r="U200" i="20" s="1"/>
  <c r="Q113" i="20"/>
  <c r="Q200" i="20" s="1"/>
  <c r="M113" i="20"/>
  <c r="M200" i="20" s="1"/>
  <c r="J113" i="20"/>
  <c r="J200" i="20" s="1"/>
  <c r="L228" i="20" l="1"/>
  <c r="L267" i="20"/>
  <c r="L215" i="20"/>
  <c r="L254" i="20"/>
  <c r="L241" i="20"/>
  <c r="J267" i="20"/>
  <c r="J215" i="20"/>
  <c r="J228" i="20"/>
  <c r="J254" i="20"/>
  <c r="J241" i="20"/>
  <c r="K215" i="20"/>
  <c r="K254" i="20"/>
  <c r="K241" i="20"/>
  <c r="K228" i="20"/>
  <c r="K267" i="20"/>
  <c r="P254" i="20"/>
  <c r="P267" i="20"/>
  <c r="P241" i="20"/>
  <c r="P215" i="20"/>
  <c r="P228" i="20"/>
  <c r="I228" i="20"/>
  <c r="I241" i="20"/>
  <c r="I215" i="20"/>
  <c r="I267" i="20"/>
  <c r="I254" i="20"/>
  <c r="N215" i="20"/>
  <c r="N228" i="20"/>
  <c r="N267" i="20"/>
  <c r="N241" i="20"/>
  <c r="N254" i="20"/>
  <c r="M267" i="20"/>
  <c r="M215" i="20"/>
  <c r="M254" i="20"/>
  <c r="M228" i="20"/>
  <c r="M241" i="20"/>
  <c r="O215" i="20"/>
  <c r="O228" i="20"/>
  <c r="O241" i="20"/>
  <c r="O267" i="20"/>
  <c r="O254" i="20"/>
  <c r="I111" i="2" l="1"/>
  <c r="J111" i="2"/>
  <c r="K111" i="2"/>
  <c r="L111" i="2"/>
  <c r="M111" i="2"/>
  <c r="N111" i="2"/>
  <c r="O111" i="2"/>
  <c r="P111" i="2"/>
  <c r="Q111" i="2"/>
  <c r="R111" i="2"/>
  <c r="S111" i="2"/>
  <c r="T111" i="2"/>
  <c r="I114" i="2" l="1"/>
  <c r="F6" i="5" s="1"/>
  <c r="F160" i="5" s="1"/>
  <c r="F180" i="5"/>
  <c r="T114" i="2"/>
  <c r="Q6" i="5" s="1"/>
  <c r="P114" i="2"/>
  <c r="M6" i="5" s="1"/>
  <c r="M160" i="5" s="1"/>
  <c r="M180" i="5"/>
  <c r="L114" i="2"/>
  <c r="I6" i="5" s="1"/>
  <c r="I160" i="5" s="1"/>
  <c r="I180" i="5"/>
  <c r="M114" i="2"/>
  <c r="J6" i="5" s="1"/>
  <c r="J160" i="5" s="1"/>
  <c r="J180" i="5"/>
  <c r="S114" i="2"/>
  <c r="P6" i="5" s="1"/>
  <c r="P160" i="5" s="1"/>
  <c r="P180" i="5"/>
  <c r="O114" i="2"/>
  <c r="L6" i="5" s="1"/>
  <c r="L160" i="5" s="1"/>
  <c r="L180" i="5"/>
  <c r="K114" i="2"/>
  <c r="H6" i="5" s="1"/>
  <c r="H160" i="5" s="1"/>
  <c r="H180" i="5"/>
  <c r="Q114" i="2"/>
  <c r="N6" i="5" s="1"/>
  <c r="N160" i="5" s="1"/>
  <c r="N180" i="5"/>
  <c r="R114" i="2"/>
  <c r="O6" i="5" s="1"/>
  <c r="O160" i="5" s="1"/>
  <c r="O180" i="5"/>
  <c r="N114" i="2"/>
  <c r="K6" i="5" s="1"/>
  <c r="K160" i="5" s="1"/>
  <c r="K180" i="5"/>
  <c r="J114" i="2"/>
  <c r="G6" i="5" s="1"/>
  <c r="G160" i="5" s="1"/>
  <c r="G180" i="5"/>
  <c r="S115" i="2"/>
  <c r="T115" i="2"/>
  <c r="J198" i="20"/>
  <c r="K198" i="20"/>
  <c r="L168" i="20"/>
  <c r="L198" i="20" s="1"/>
  <c r="M168" i="20"/>
  <c r="M198" i="20" s="1"/>
  <c r="N168" i="20"/>
  <c r="N198" i="20" s="1"/>
  <c r="O168" i="20"/>
  <c r="O198" i="20" s="1"/>
  <c r="P168" i="20"/>
  <c r="P198" i="20" s="1"/>
  <c r="Q168" i="20"/>
  <c r="Q198" i="20" s="1"/>
  <c r="Q239" i="20" s="1"/>
  <c r="S168" i="20"/>
  <c r="S198" i="20" s="1"/>
  <c r="T168" i="20"/>
  <c r="T198" i="20" s="1"/>
  <c r="U168" i="20"/>
  <c r="U198" i="20" s="1"/>
  <c r="Q160" i="5" l="1"/>
  <c r="S160" i="5" s="1"/>
  <c r="T6" i="5"/>
  <c r="S6" i="5"/>
  <c r="Q180" i="5"/>
  <c r="K60" i="5"/>
  <c r="N60" i="5"/>
  <c r="L60" i="5"/>
  <c r="J60" i="5"/>
  <c r="M60" i="5"/>
  <c r="F60" i="5"/>
  <c r="G60" i="5"/>
  <c r="O60" i="5"/>
  <c r="H60" i="5"/>
  <c r="P60" i="5"/>
  <c r="I60" i="5"/>
  <c r="Q60" i="5"/>
  <c r="G81" i="5"/>
  <c r="G36" i="5"/>
  <c r="G174" i="5" s="1"/>
  <c r="G176" i="5" s="1"/>
  <c r="G216" i="5" s="1"/>
  <c r="H81" i="5"/>
  <c r="H36" i="5"/>
  <c r="H174" i="5" s="1"/>
  <c r="H176" i="5" s="1"/>
  <c r="H216" i="5" s="1"/>
  <c r="I81" i="5"/>
  <c r="I36" i="5"/>
  <c r="I174" i="5" s="1"/>
  <c r="I176" i="5" s="1"/>
  <c r="I216" i="5" s="1"/>
  <c r="O72" i="5"/>
  <c r="O23" i="5"/>
  <c r="O152" i="5" s="1"/>
  <c r="O157" i="5" s="1"/>
  <c r="H72" i="5"/>
  <c r="H23" i="5"/>
  <c r="H152" i="5" s="1"/>
  <c r="H157" i="5" s="1"/>
  <c r="P72" i="5"/>
  <c r="P23" i="5"/>
  <c r="P152" i="5" s="1"/>
  <c r="P157" i="5" s="1"/>
  <c r="I72" i="5"/>
  <c r="I23" i="5"/>
  <c r="I152" i="5" s="1"/>
  <c r="I157" i="5" s="1"/>
  <c r="Q72" i="5"/>
  <c r="F97" i="5"/>
  <c r="Q23" i="5"/>
  <c r="Q152" i="5" s="1"/>
  <c r="Q157" i="5" s="1"/>
  <c r="S157" i="5" s="1"/>
  <c r="O81" i="5"/>
  <c r="O36" i="5"/>
  <c r="O174" i="5" s="1"/>
  <c r="O176" i="5" s="1"/>
  <c r="O216" i="5" s="1"/>
  <c r="P81" i="5"/>
  <c r="P36" i="5"/>
  <c r="P174" i="5" s="1"/>
  <c r="P176" i="5" s="1"/>
  <c r="P216" i="5" s="1"/>
  <c r="Q81" i="5"/>
  <c r="Q36" i="5"/>
  <c r="Q174" i="5" s="1"/>
  <c r="Q176" i="5" s="1"/>
  <c r="S173" i="5" s="1"/>
  <c r="G72" i="5"/>
  <c r="G23" i="5"/>
  <c r="G152" i="5" s="1"/>
  <c r="G157" i="5" s="1"/>
  <c r="K81" i="5"/>
  <c r="K36" i="5"/>
  <c r="K174" i="5" s="1"/>
  <c r="K176" i="5" s="1"/>
  <c r="K216" i="5" s="1"/>
  <c r="N81" i="5"/>
  <c r="N36" i="5"/>
  <c r="N174" i="5" s="1"/>
  <c r="N176" i="5" s="1"/>
  <c r="N216" i="5" s="1"/>
  <c r="L81" i="5"/>
  <c r="L36" i="5"/>
  <c r="L174" i="5" s="1"/>
  <c r="L176" i="5" s="1"/>
  <c r="L216" i="5" s="1"/>
  <c r="J81" i="5"/>
  <c r="J36" i="5"/>
  <c r="J174" i="5" s="1"/>
  <c r="J176" i="5" s="1"/>
  <c r="J216" i="5" s="1"/>
  <c r="M81" i="5"/>
  <c r="M36" i="5"/>
  <c r="M174" i="5" s="1"/>
  <c r="M176" i="5" s="1"/>
  <c r="M216" i="5" s="1"/>
  <c r="F36" i="5"/>
  <c r="F174" i="5" s="1"/>
  <c r="F176" i="5" s="1"/>
  <c r="F216" i="5" s="1"/>
  <c r="F81" i="5"/>
  <c r="K72" i="5"/>
  <c r="K23" i="5"/>
  <c r="K152" i="5" s="1"/>
  <c r="K157" i="5" s="1"/>
  <c r="N72" i="5"/>
  <c r="N23" i="5"/>
  <c r="N152" i="5" s="1"/>
  <c r="N157" i="5" s="1"/>
  <c r="L72" i="5"/>
  <c r="L23" i="5"/>
  <c r="L152" i="5" s="1"/>
  <c r="L157" i="5" s="1"/>
  <c r="J72" i="5"/>
  <c r="J23" i="5"/>
  <c r="J152" i="5" s="1"/>
  <c r="J157" i="5" s="1"/>
  <c r="M72" i="5"/>
  <c r="M23" i="5"/>
  <c r="M152" i="5" s="1"/>
  <c r="M157" i="5" s="1"/>
  <c r="F23" i="5"/>
  <c r="F152" i="5" s="1"/>
  <c r="F157" i="5" s="1"/>
  <c r="F72" i="5"/>
  <c r="I226" i="20"/>
  <c r="I230" i="20" s="1"/>
  <c r="I252" i="20"/>
  <c r="I256" i="20" s="1"/>
  <c r="I213" i="20"/>
  <c r="I217" i="20" s="1"/>
  <c r="I265" i="20"/>
  <c r="I269" i="20" s="1"/>
  <c r="I239" i="20"/>
  <c r="I243" i="20" s="1"/>
  <c r="O226" i="20"/>
  <c r="O230" i="20" s="1"/>
  <c r="O252" i="20"/>
  <c r="O256" i="20" s="1"/>
  <c r="O213" i="20"/>
  <c r="O217" i="20" s="1"/>
  <c r="O239" i="20"/>
  <c r="O243" i="20" s="1"/>
  <c r="O265" i="20"/>
  <c r="O269" i="20" s="1"/>
  <c r="K226" i="20"/>
  <c r="K230" i="20" s="1"/>
  <c r="K239" i="20"/>
  <c r="K243" i="20" s="1"/>
  <c r="K213" i="20"/>
  <c r="K217" i="20" s="1"/>
  <c r="K252" i="20"/>
  <c r="K256" i="20" s="1"/>
  <c r="K265" i="20"/>
  <c r="K269" i="20" s="1"/>
  <c r="N265" i="20"/>
  <c r="N269" i="20" s="1"/>
  <c r="N252" i="20"/>
  <c r="N256" i="20" s="1"/>
  <c r="N213" i="20"/>
  <c r="N217" i="20" s="1"/>
  <c r="N226" i="20"/>
  <c r="N230" i="20" s="1"/>
  <c r="N239" i="20"/>
  <c r="N243" i="20" s="1"/>
  <c r="J252" i="20"/>
  <c r="J256" i="20" s="1"/>
  <c r="J239" i="20"/>
  <c r="J243" i="20" s="1"/>
  <c r="J213" i="20"/>
  <c r="J217" i="20" s="1"/>
  <c r="J265" i="20"/>
  <c r="J269" i="20" s="1"/>
  <c r="J226" i="20"/>
  <c r="J230" i="20" s="1"/>
  <c r="M213" i="20"/>
  <c r="M217" i="20" s="1"/>
  <c r="M265" i="20"/>
  <c r="M269" i="20" s="1"/>
  <c r="M226" i="20"/>
  <c r="M230" i="20" s="1"/>
  <c r="M239" i="20"/>
  <c r="M243" i="20" s="1"/>
  <c r="M252" i="20"/>
  <c r="M256" i="20" s="1"/>
  <c r="P226" i="20"/>
  <c r="P230" i="20" s="1"/>
  <c r="P252" i="20"/>
  <c r="P256" i="20" s="1"/>
  <c r="P265" i="20"/>
  <c r="P269" i="20" s="1"/>
  <c r="P239" i="20"/>
  <c r="P243" i="20" s="1"/>
  <c r="P213" i="20"/>
  <c r="P217" i="20" s="1"/>
  <c r="L226" i="20"/>
  <c r="L230" i="20" s="1"/>
  <c r="L252" i="20"/>
  <c r="L256" i="20" s="1"/>
  <c r="L265" i="20"/>
  <c r="L269" i="20" s="1"/>
  <c r="L213" i="20"/>
  <c r="L217" i="20" s="1"/>
  <c r="L239" i="20"/>
  <c r="L243" i="20" s="1"/>
  <c r="R157" i="20"/>
  <c r="S157" i="20"/>
  <c r="T157" i="20"/>
  <c r="U157" i="20"/>
  <c r="R210" i="20"/>
  <c r="R215" i="20" s="1"/>
  <c r="Q208" i="20"/>
  <c r="Q213" i="20" s="1"/>
  <c r="Q210" i="20"/>
  <c r="Q215" i="20" s="1"/>
  <c r="T160" i="5" l="1"/>
  <c r="I270" i="20"/>
  <c r="I271" i="20" s="1"/>
  <c r="E232" i="5"/>
  <c r="F232" i="5" s="1"/>
  <c r="T180" i="5"/>
  <c r="S180" i="5"/>
  <c r="T173" i="5"/>
  <c r="T157" i="5"/>
  <c r="Q216" i="5"/>
  <c r="L42" i="5"/>
  <c r="L38" i="5"/>
  <c r="L47" i="5"/>
  <c r="L173" i="5"/>
  <c r="L175" i="5" s="1"/>
  <c r="L215" i="5" s="1"/>
  <c r="L41" i="5"/>
  <c r="L43" i="5"/>
  <c r="L37" i="5"/>
  <c r="L39" i="5"/>
  <c r="L40" i="5"/>
  <c r="E106" i="5"/>
  <c r="O173" i="5"/>
  <c r="O175" i="5" s="1"/>
  <c r="O215" i="5" s="1"/>
  <c r="O47" i="5"/>
  <c r="O41" i="5"/>
  <c r="O43" i="5"/>
  <c r="O37" i="5"/>
  <c r="O40" i="5"/>
  <c r="O42" i="5"/>
  <c r="O38" i="5"/>
  <c r="O39" i="5"/>
  <c r="M173" i="5"/>
  <c r="M175" i="5" s="1"/>
  <c r="M215" i="5" s="1"/>
  <c r="M37" i="5"/>
  <c r="G134" i="5"/>
  <c r="M42" i="5"/>
  <c r="M40" i="5"/>
  <c r="G132" i="5"/>
  <c r="M41" i="5"/>
  <c r="M47" i="5"/>
  <c r="M38" i="5"/>
  <c r="M39" i="5"/>
  <c r="M43" i="5"/>
  <c r="Q173" i="5"/>
  <c r="Q175" i="5" s="1"/>
  <c r="Q38" i="5"/>
  <c r="Q39" i="5"/>
  <c r="Q41" i="5"/>
  <c r="Q43" i="5"/>
  <c r="Q40" i="5"/>
  <c r="Q47" i="5"/>
  <c r="Q37" i="5"/>
  <c r="Q42" i="5"/>
  <c r="E118" i="5"/>
  <c r="J173" i="5"/>
  <c r="J175" i="5" s="1"/>
  <c r="J215" i="5" s="1"/>
  <c r="J38" i="5"/>
  <c r="J41" i="5"/>
  <c r="J42" i="5"/>
  <c r="J47" i="5"/>
  <c r="J37" i="5"/>
  <c r="J43" i="5"/>
  <c r="J40" i="5"/>
  <c r="J39" i="5"/>
  <c r="N173" i="5"/>
  <c r="N175" i="5" s="1"/>
  <c r="N215" i="5" s="1"/>
  <c r="N41" i="5"/>
  <c r="N47" i="5"/>
  <c r="N39" i="5"/>
  <c r="N40" i="5"/>
  <c r="N38" i="5"/>
  <c r="N42" i="5"/>
  <c r="N37" i="5"/>
  <c r="N43" i="5"/>
  <c r="I173" i="5"/>
  <c r="I175" i="5" s="1"/>
  <c r="I215" i="5" s="1"/>
  <c r="I47" i="5"/>
  <c r="I37" i="5"/>
  <c r="I43" i="5"/>
  <c r="I42" i="5"/>
  <c r="I40" i="5"/>
  <c r="I38" i="5"/>
  <c r="I39" i="5"/>
  <c r="I41" i="5"/>
  <c r="G173" i="5"/>
  <c r="G175" i="5" s="1"/>
  <c r="G215" i="5" s="1"/>
  <c r="G41" i="5"/>
  <c r="G39" i="5"/>
  <c r="G47" i="5"/>
  <c r="G42" i="5"/>
  <c r="G43" i="5"/>
  <c r="G38" i="5"/>
  <c r="G37" i="5"/>
  <c r="G40" i="5"/>
  <c r="K173" i="5"/>
  <c r="K175" i="5" s="1"/>
  <c r="K215" i="5" s="1"/>
  <c r="K40" i="5"/>
  <c r="K42" i="5"/>
  <c r="K43" i="5"/>
  <c r="K41" i="5"/>
  <c r="G118" i="5"/>
  <c r="K37" i="5"/>
  <c r="K39" i="5"/>
  <c r="K38" i="5"/>
  <c r="K47" i="5"/>
  <c r="F118" i="5"/>
  <c r="H173" i="5"/>
  <c r="H175" i="5" s="1"/>
  <c r="H215" i="5" s="1"/>
  <c r="H37" i="5"/>
  <c r="H38" i="5"/>
  <c r="H47" i="5"/>
  <c r="H40" i="5"/>
  <c r="F132" i="5"/>
  <c r="H43" i="5"/>
  <c r="H39" i="5"/>
  <c r="F134" i="5"/>
  <c r="H42" i="5"/>
  <c r="H41" i="5"/>
  <c r="E132" i="5"/>
  <c r="F173" i="5"/>
  <c r="F175" i="5" s="1"/>
  <c r="F215" i="5" s="1"/>
  <c r="F41" i="5"/>
  <c r="F39" i="5"/>
  <c r="F40" i="5"/>
  <c r="F43" i="5"/>
  <c r="F38" i="5"/>
  <c r="F42" i="5"/>
  <c r="F37" i="5"/>
  <c r="F47" i="5"/>
  <c r="E120" i="5"/>
  <c r="E134" i="5"/>
  <c r="P39" i="5"/>
  <c r="P41" i="5"/>
  <c r="P38" i="5"/>
  <c r="P47" i="5"/>
  <c r="P173" i="5"/>
  <c r="P175" i="5" s="1"/>
  <c r="P215" i="5" s="1"/>
  <c r="P42" i="5"/>
  <c r="P37" i="5"/>
  <c r="P40" i="5"/>
  <c r="P43" i="5"/>
  <c r="L270" i="20"/>
  <c r="L271" i="20" s="1"/>
  <c r="M270" i="20"/>
  <c r="M271" i="20" s="1"/>
  <c r="N270" i="20"/>
  <c r="N271" i="20" s="1"/>
  <c r="K270" i="20"/>
  <c r="K271" i="20" s="1"/>
  <c r="P270" i="20"/>
  <c r="P271" i="20" s="1"/>
  <c r="J270" i="20"/>
  <c r="J271" i="20" s="1"/>
  <c r="O270" i="20"/>
  <c r="O271" i="20" s="1"/>
  <c r="U296" i="20"/>
  <c r="U304" i="20" s="1"/>
  <c r="T172" i="5" l="1"/>
  <c r="S172" i="5"/>
  <c r="G136" i="5"/>
  <c r="Q215" i="5"/>
  <c r="F136" i="5"/>
  <c r="E108" i="5"/>
  <c r="E239" i="5" s="1"/>
  <c r="F239" i="5" l="1"/>
  <c r="E240" i="5"/>
  <c r="F240" i="5" s="1"/>
  <c r="F65" i="8"/>
  <c r="G65" i="8"/>
  <c r="H65" i="8"/>
  <c r="G66" i="8" l="1"/>
  <c r="G67" i="8" s="1"/>
  <c r="H67" i="8" l="1"/>
  <c r="Q298" i="20" l="1"/>
  <c r="Q306" i="20" s="1"/>
  <c r="I34" i="3" l="1"/>
  <c r="J34" i="3"/>
  <c r="K34" i="3"/>
  <c r="L34" i="3"/>
  <c r="M34" i="3"/>
  <c r="N34" i="3"/>
  <c r="H44" i="3" s="1"/>
  <c r="O34" i="3"/>
  <c r="P34" i="3"/>
  <c r="Q34" i="3"/>
  <c r="R34" i="3"/>
  <c r="S34" i="3"/>
  <c r="H34" i="3"/>
  <c r="H45" i="3" s="1"/>
  <c r="H47" i="3" l="1"/>
  <c r="H46" i="3"/>
  <c r="T69" i="1"/>
  <c r="D45" i="12" l="1"/>
  <c r="E42" i="12" s="1"/>
  <c r="E45" i="12" l="1"/>
  <c r="E41" i="12"/>
  <c r="E44" i="12"/>
  <c r="E43" i="12"/>
  <c r="D288" i="20" l="1"/>
  <c r="D289" i="20"/>
  <c r="D290" i="20"/>
  <c r="D286" i="20"/>
  <c r="U373" i="20"/>
  <c r="U374" i="20"/>
  <c r="T373" i="20"/>
  <c r="T374" i="20"/>
  <c r="T382" i="20" s="1"/>
  <c r="S373" i="20"/>
  <c r="S381" i="20" s="1"/>
  <c r="S374" i="20"/>
  <c r="S382" i="20" s="1"/>
  <c r="R373" i="20"/>
  <c r="R381" i="20" s="1"/>
  <c r="R374" i="20"/>
  <c r="R382" i="20" s="1"/>
  <c r="Q373" i="20"/>
  <c r="Q381" i="20" s="1"/>
  <c r="Q374" i="20"/>
  <c r="Q382" i="20" s="1"/>
  <c r="R372" i="20"/>
  <c r="R380" i="20" s="1"/>
  <c r="S372" i="20"/>
  <c r="S380" i="20" s="1"/>
  <c r="T372" i="20"/>
  <c r="U372" i="20"/>
  <c r="Q372" i="20"/>
  <c r="Q380" i="20" s="1"/>
  <c r="U354" i="20"/>
  <c r="U355" i="20"/>
  <c r="T354" i="20"/>
  <c r="T355" i="20"/>
  <c r="T363" i="20" s="1"/>
  <c r="S354" i="20"/>
  <c r="S362" i="20" s="1"/>
  <c r="S355" i="20"/>
  <c r="S363" i="20" s="1"/>
  <c r="R354" i="20"/>
  <c r="R362" i="20" s="1"/>
  <c r="R355" i="20"/>
  <c r="R363" i="20" s="1"/>
  <c r="R353" i="20"/>
  <c r="R361" i="20" s="1"/>
  <c r="Q354" i="20"/>
  <c r="Q362" i="20" s="1"/>
  <c r="Q355" i="20"/>
  <c r="Q363" i="20" s="1"/>
  <c r="S353" i="20"/>
  <c r="S361" i="20" s="1"/>
  <c r="T353" i="20"/>
  <c r="U353" i="20"/>
  <c r="Q353" i="20"/>
  <c r="Q361" i="20" s="1"/>
  <c r="U335" i="20"/>
  <c r="U336" i="20"/>
  <c r="T335" i="20"/>
  <c r="T336" i="20"/>
  <c r="T344" i="20" s="1"/>
  <c r="S335" i="20"/>
  <c r="S343" i="20" s="1"/>
  <c r="S336" i="20"/>
  <c r="S344" i="20" s="1"/>
  <c r="R335" i="20"/>
  <c r="R343" i="20" s="1"/>
  <c r="R336" i="20"/>
  <c r="R344" i="20" s="1"/>
  <c r="Q335" i="20"/>
  <c r="Q343" i="20" s="1"/>
  <c r="Q336" i="20"/>
  <c r="Q344" i="20" s="1"/>
  <c r="R334" i="20"/>
  <c r="R342" i="20" s="1"/>
  <c r="S334" i="20"/>
  <c r="S342" i="20" s="1"/>
  <c r="T334" i="20"/>
  <c r="U334" i="20"/>
  <c r="Q334" i="20"/>
  <c r="Q342" i="20" s="1"/>
  <c r="U316" i="20"/>
  <c r="U317" i="20"/>
  <c r="T316" i="20"/>
  <c r="T317" i="20"/>
  <c r="T325" i="20" s="1"/>
  <c r="S316" i="20"/>
  <c r="S324" i="20" s="1"/>
  <c r="S317" i="20"/>
  <c r="S325" i="20" s="1"/>
  <c r="R316" i="20"/>
  <c r="R324" i="20" s="1"/>
  <c r="R317" i="20"/>
  <c r="R325" i="20" s="1"/>
  <c r="Q316" i="20"/>
  <c r="Q324" i="20" s="1"/>
  <c r="Q317" i="20"/>
  <c r="Q325" i="20" s="1"/>
  <c r="R315" i="20"/>
  <c r="R323" i="20" s="1"/>
  <c r="S315" i="20"/>
  <c r="S323" i="20" s="1"/>
  <c r="T315" i="20"/>
  <c r="U315" i="20"/>
  <c r="Q315" i="20"/>
  <c r="Q323" i="20" s="1"/>
  <c r="U297" i="20"/>
  <c r="U305" i="20" s="1"/>
  <c r="U298" i="20"/>
  <c r="U306" i="20" s="1"/>
  <c r="T297" i="20"/>
  <c r="T298" i="20"/>
  <c r="T306" i="20" s="1"/>
  <c r="S297" i="20"/>
  <c r="S305" i="20" s="1"/>
  <c r="S298" i="20"/>
  <c r="S306" i="20" s="1"/>
  <c r="R297" i="20"/>
  <c r="R305" i="20" s="1"/>
  <c r="R298" i="20"/>
  <c r="R306" i="20" s="1"/>
  <c r="R296" i="20"/>
  <c r="R304" i="20" s="1"/>
  <c r="S296" i="20"/>
  <c r="S304" i="20" s="1"/>
  <c r="T296" i="20"/>
  <c r="Q297" i="20"/>
  <c r="Q305" i="20" s="1"/>
  <c r="Q296" i="20"/>
  <c r="Q304" i="20" s="1"/>
  <c r="S210" i="20"/>
  <c r="S215" i="20" s="1"/>
  <c r="R211" i="20"/>
  <c r="R216" i="20" s="1"/>
  <c r="U263" i="20"/>
  <c r="U268" i="20" s="1"/>
  <c r="T263" i="20"/>
  <c r="T268" i="20" s="1"/>
  <c r="S263" i="20"/>
  <c r="S268" i="20" s="1"/>
  <c r="R263" i="20"/>
  <c r="R268" i="20" s="1"/>
  <c r="Q263" i="20"/>
  <c r="Q268" i="20" s="1"/>
  <c r="U262" i="20"/>
  <c r="U267" i="20" s="1"/>
  <c r="T262" i="20"/>
  <c r="T267" i="20" s="1"/>
  <c r="S262" i="20"/>
  <c r="S267" i="20" s="1"/>
  <c r="R262" i="20"/>
  <c r="R267" i="20" s="1"/>
  <c r="Q262" i="20"/>
  <c r="Q267" i="20" s="1"/>
  <c r="U261" i="20"/>
  <c r="U266" i="20" s="1"/>
  <c r="T261" i="20"/>
  <c r="T266" i="20" s="1"/>
  <c r="S261" i="20"/>
  <c r="S266" i="20" s="1"/>
  <c r="R261" i="20"/>
  <c r="R266" i="20" s="1"/>
  <c r="Q261" i="20"/>
  <c r="Q266" i="20" s="1"/>
  <c r="U260" i="20"/>
  <c r="T260" i="20"/>
  <c r="S260" i="20"/>
  <c r="S265" i="20" s="1"/>
  <c r="R260" i="20"/>
  <c r="R265" i="20" s="1"/>
  <c r="Q260" i="20"/>
  <c r="Q265" i="20" s="1"/>
  <c r="U259" i="20"/>
  <c r="U264" i="20" s="1"/>
  <c r="T259" i="20"/>
  <c r="T264" i="20" s="1"/>
  <c r="S259" i="20"/>
  <c r="S264" i="20" s="1"/>
  <c r="R259" i="20"/>
  <c r="R264" i="20" s="1"/>
  <c r="Q259" i="20"/>
  <c r="Q264" i="20" s="1"/>
  <c r="U250" i="20"/>
  <c r="U255" i="20" s="1"/>
  <c r="T250" i="20"/>
  <c r="T255" i="20" s="1"/>
  <c r="S250" i="20"/>
  <c r="S255" i="20" s="1"/>
  <c r="R250" i="20"/>
  <c r="R255" i="20" s="1"/>
  <c r="Q250" i="20"/>
  <c r="Q255" i="20" s="1"/>
  <c r="U249" i="20"/>
  <c r="U254" i="20" s="1"/>
  <c r="T249" i="20"/>
  <c r="T254" i="20" s="1"/>
  <c r="S249" i="20"/>
  <c r="S254" i="20" s="1"/>
  <c r="R249" i="20"/>
  <c r="R254" i="20" s="1"/>
  <c r="Q249" i="20"/>
  <c r="Q254" i="20" s="1"/>
  <c r="U248" i="20"/>
  <c r="U253" i="20" s="1"/>
  <c r="T248" i="20"/>
  <c r="T253" i="20" s="1"/>
  <c r="S248" i="20"/>
  <c r="S253" i="20" s="1"/>
  <c r="R248" i="20"/>
  <c r="R253" i="20" s="1"/>
  <c r="Q248" i="20"/>
  <c r="Q253" i="20" s="1"/>
  <c r="U247" i="20"/>
  <c r="T247" i="20"/>
  <c r="S247" i="20"/>
  <c r="S252" i="20" s="1"/>
  <c r="R247" i="20"/>
  <c r="R252" i="20" s="1"/>
  <c r="Q247" i="20"/>
  <c r="Q252" i="20" s="1"/>
  <c r="U246" i="20"/>
  <c r="U251" i="20" s="1"/>
  <c r="T246" i="20"/>
  <c r="T251" i="20" s="1"/>
  <c r="S246" i="20"/>
  <c r="S251" i="20" s="1"/>
  <c r="R246" i="20"/>
  <c r="R251" i="20" s="1"/>
  <c r="Q246" i="20"/>
  <c r="Q251" i="20" s="1"/>
  <c r="U237" i="20"/>
  <c r="U242" i="20" s="1"/>
  <c r="T237" i="20"/>
  <c r="T242" i="20" s="1"/>
  <c r="S237" i="20"/>
  <c r="S242" i="20" s="1"/>
  <c r="R237" i="20"/>
  <c r="R242" i="20" s="1"/>
  <c r="Q237" i="20"/>
  <c r="Q242" i="20" s="1"/>
  <c r="U236" i="20"/>
  <c r="U241" i="20" s="1"/>
  <c r="T236" i="20"/>
  <c r="T241" i="20" s="1"/>
  <c r="S236" i="20"/>
  <c r="S241" i="20" s="1"/>
  <c r="R236" i="20"/>
  <c r="R241" i="20" s="1"/>
  <c r="Q236" i="20"/>
  <c r="Q241" i="20" s="1"/>
  <c r="U235" i="20"/>
  <c r="U240" i="20" s="1"/>
  <c r="T235" i="20"/>
  <c r="T240" i="20" s="1"/>
  <c r="S235" i="20"/>
  <c r="S240" i="20" s="1"/>
  <c r="R235" i="20"/>
  <c r="R240" i="20" s="1"/>
  <c r="Q235" i="20"/>
  <c r="Q240" i="20" s="1"/>
  <c r="U234" i="20"/>
  <c r="T234" i="20"/>
  <c r="V234" i="20" s="1"/>
  <c r="S234" i="20"/>
  <c r="S239" i="20" s="1"/>
  <c r="R234" i="20"/>
  <c r="R239" i="20" s="1"/>
  <c r="U233" i="20"/>
  <c r="U238" i="20" s="1"/>
  <c r="T233" i="20"/>
  <c r="T238" i="20" s="1"/>
  <c r="S233" i="20"/>
  <c r="S238" i="20" s="1"/>
  <c r="R233" i="20"/>
  <c r="R238" i="20" s="1"/>
  <c r="Q233" i="20"/>
  <c r="Q238" i="20" s="1"/>
  <c r="U224" i="20"/>
  <c r="U229" i="20" s="1"/>
  <c r="T224" i="20"/>
  <c r="T229" i="20" s="1"/>
  <c r="S224" i="20"/>
  <c r="S229" i="20" s="1"/>
  <c r="R224" i="20"/>
  <c r="R229" i="20" s="1"/>
  <c r="Q224" i="20"/>
  <c r="Q229" i="20" s="1"/>
  <c r="U223" i="20"/>
  <c r="U228" i="20" s="1"/>
  <c r="T223" i="20"/>
  <c r="T228" i="20" s="1"/>
  <c r="S223" i="20"/>
  <c r="S228" i="20" s="1"/>
  <c r="R223" i="20"/>
  <c r="R228" i="20" s="1"/>
  <c r="Q223" i="20"/>
  <c r="Q228" i="20" s="1"/>
  <c r="U222" i="20"/>
  <c r="U227" i="20" s="1"/>
  <c r="T222" i="20"/>
  <c r="T227" i="20" s="1"/>
  <c r="S222" i="20"/>
  <c r="S227" i="20" s="1"/>
  <c r="R222" i="20"/>
  <c r="R227" i="20" s="1"/>
  <c r="Q222" i="20"/>
  <c r="Q227" i="20" s="1"/>
  <c r="U221" i="20"/>
  <c r="T221" i="20"/>
  <c r="S221" i="20"/>
  <c r="S226" i="20" s="1"/>
  <c r="Q226" i="20"/>
  <c r="U220" i="20"/>
  <c r="U225" i="20" s="1"/>
  <c r="T220" i="20"/>
  <c r="T225" i="20" s="1"/>
  <c r="S220" i="20"/>
  <c r="S225" i="20" s="1"/>
  <c r="R220" i="20"/>
  <c r="R225" i="20" s="1"/>
  <c r="Q220" i="20"/>
  <c r="Q225" i="20" s="1"/>
  <c r="U211" i="20"/>
  <c r="U216" i="20" s="1"/>
  <c r="T211" i="20"/>
  <c r="T216" i="20" s="1"/>
  <c r="S211" i="20"/>
  <c r="S216" i="20" s="1"/>
  <c r="U210" i="20"/>
  <c r="U215" i="20" s="1"/>
  <c r="T210" i="20"/>
  <c r="T215" i="20" s="1"/>
  <c r="U209" i="20"/>
  <c r="U214" i="20" s="1"/>
  <c r="T209" i="20"/>
  <c r="T214" i="20" s="1"/>
  <c r="S209" i="20"/>
  <c r="S214" i="20" s="1"/>
  <c r="R209" i="20"/>
  <c r="R214" i="20" s="1"/>
  <c r="Q209" i="20"/>
  <c r="Q214" i="20" s="1"/>
  <c r="U208" i="20"/>
  <c r="U213" i="20" s="1"/>
  <c r="T208" i="20"/>
  <c r="T213" i="20" s="1"/>
  <c r="S208" i="20"/>
  <c r="S213" i="20" s="1"/>
  <c r="R208" i="20"/>
  <c r="R213" i="20" s="1"/>
  <c r="U207" i="20"/>
  <c r="U212" i="20" s="1"/>
  <c r="T207" i="20"/>
  <c r="T212" i="20" s="1"/>
  <c r="S207" i="20"/>
  <c r="S212" i="20" s="1"/>
  <c r="R207" i="20"/>
  <c r="R212" i="20" s="1"/>
  <c r="E130" i="20"/>
  <c r="F126" i="20" s="1"/>
  <c r="D130" i="20"/>
  <c r="T379" i="20" l="1"/>
  <c r="T387" i="20" s="1"/>
  <c r="I379" i="20"/>
  <c r="I387" i="20" s="1"/>
  <c r="N379" i="20"/>
  <c r="N387" i="20" s="1"/>
  <c r="I360" i="20"/>
  <c r="I368" i="20" s="1"/>
  <c r="M360" i="20"/>
  <c r="M368" i="20" s="1"/>
  <c r="J341" i="20"/>
  <c r="J349" i="20" s="1"/>
  <c r="O341" i="20"/>
  <c r="O349" i="20" s="1"/>
  <c r="K322" i="20"/>
  <c r="K330" i="20" s="1"/>
  <c r="K303" i="20"/>
  <c r="K311" i="20" s="1"/>
  <c r="O303" i="20"/>
  <c r="O311" i="20" s="1"/>
  <c r="J379" i="20"/>
  <c r="J387" i="20" s="1"/>
  <c r="J360" i="20"/>
  <c r="J368" i="20" s="1"/>
  <c r="N360" i="20"/>
  <c r="N368" i="20" s="1"/>
  <c r="P341" i="20"/>
  <c r="P349" i="20" s="1"/>
  <c r="N322" i="20"/>
  <c r="N330" i="20" s="1"/>
  <c r="L303" i="20"/>
  <c r="L311" i="20" s="1"/>
  <c r="P303" i="20"/>
  <c r="P311" i="20" s="1"/>
  <c r="L341" i="20"/>
  <c r="L349" i="20" s="1"/>
  <c r="I322" i="20"/>
  <c r="I330" i="20" s="1"/>
  <c r="I303" i="20"/>
  <c r="I311" i="20" s="1"/>
  <c r="M303" i="20"/>
  <c r="M311" i="20" s="1"/>
  <c r="L360" i="20"/>
  <c r="L368" i="20" s="1"/>
  <c r="P360" i="20"/>
  <c r="P368" i="20" s="1"/>
  <c r="N341" i="20"/>
  <c r="N349" i="20" s="1"/>
  <c r="J322" i="20"/>
  <c r="J330" i="20" s="1"/>
  <c r="J303" i="20"/>
  <c r="J311" i="20" s="1"/>
  <c r="N303" i="20"/>
  <c r="N311" i="20" s="1"/>
  <c r="O322" i="20"/>
  <c r="O330" i="20" s="1"/>
  <c r="O360" i="20"/>
  <c r="O368" i="20" s="1"/>
  <c r="P379" i="20"/>
  <c r="P387" i="20" s="1"/>
  <c r="L322" i="20"/>
  <c r="L330" i="20" s="1"/>
  <c r="K360" i="20"/>
  <c r="K368" i="20" s="1"/>
  <c r="L379" i="20"/>
  <c r="L387" i="20" s="1"/>
  <c r="M379" i="20"/>
  <c r="M387" i="20" s="1"/>
  <c r="O379" i="20"/>
  <c r="O387" i="20" s="1"/>
  <c r="K379" i="20"/>
  <c r="K387" i="20" s="1"/>
  <c r="I341" i="20"/>
  <c r="I349" i="20" s="1"/>
  <c r="K341" i="20"/>
  <c r="K349" i="20" s="1"/>
  <c r="M322" i="20"/>
  <c r="M330" i="20" s="1"/>
  <c r="P322" i="20"/>
  <c r="P330" i="20" s="1"/>
  <c r="M341" i="20"/>
  <c r="M349" i="20" s="1"/>
  <c r="J378" i="20"/>
  <c r="J386" i="20" s="1"/>
  <c r="O378" i="20"/>
  <c r="O386" i="20" s="1"/>
  <c r="I359" i="20"/>
  <c r="I367" i="20" s="1"/>
  <c r="M359" i="20"/>
  <c r="M367" i="20" s="1"/>
  <c r="L340" i="20"/>
  <c r="L348" i="20" s="1"/>
  <c r="J321" i="20"/>
  <c r="J329" i="20" s="1"/>
  <c r="K302" i="20"/>
  <c r="K310" i="20" s="1"/>
  <c r="O302" i="20"/>
  <c r="O310" i="20" s="1"/>
  <c r="P378" i="20"/>
  <c r="P386" i="20" s="1"/>
  <c r="J359" i="20"/>
  <c r="J367" i="20" s="1"/>
  <c r="N359" i="20"/>
  <c r="N367" i="20" s="1"/>
  <c r="N340" i="20"/>
  <c r="N348" i="20" s="1"/>
  <c r="K321" i="20"/>
  <c r="K329" i="20" s="1"/>
  <c r="L302" i="20"/>
  <c r="L310" i="20" s="1"/>
  <c r="P302" i="20"/>
  <c r="P310" i="20" s="1"/>
  <c r="L378" i="20"/>
  <c r="L386" i="20" s="1"/>
  <c r="J340" i="20"/>
  <c r="J348" i="20" s="1"/>
  <c r="N321" i="20"/>
  <c r="N329" i="20" s="1"/>
  <c r="I302" i="20"/>
  <c r="I310" i="20" s="1"/>
  <c r="M302" i="20"/>
  <c r="M310" i="20" s="1"/>
  <c r="I378" i="20"/>
  <c r="I386" i="20" s="1"/>
  <c r="N378" i="20"/>
  <c r="N386" i="20" s="1"/>
  <c r="L359" i="20"/>
  <c r="L367" i="20" s="1"/>
  <c r="P359" i="20"/>
  <c r="P367" i="20" s="1"/>
  <c r="K340" i="20"/>
  <c r="K348" i="20" s="1"/>
  <c r="P340" i="20"/>
  <c r="P348" i="20" s="1"/>
  <c r="I321" i="20"/>
  <c r="I329" i="20" s="1"/>
  <c r="O321" i="20"/>
  <c r="O329" i="20" s="1"/>
  <c r="J302" i="20"/>
  <c r="J310" i="20" s="1"/>
  <c r="N302" i="20"/>
  <c r="N310" i="20" s="1"/>
  <c r="O359" i="20"/>
  <c r="O367" i="20" s="1"/>
  <c r="M340" i="20"/>
  <c r="M348" i="20" s="1"/>
  <c r="K359" i="20"/>
  <c r="K367" i="20" s="1"/>
  <c r="P321" i="20"/>
  <c r="P329" i="20" s="1"/>
  <c r="I340" i="20"/>
  <c r="I348" i="20" s="1"/>
  <c r="L321" i="20"/>
  <c r="L329" i="20" s="1"/>
  <c r="K378" i="20"/>
  <c r="K386" i="20" s="1"/>
  <c r="O340" i="20"/>
  <c r="O348" i="20" s="1"/>
  <c r="M378" i="20"/>
  <c r="M386" i="20" s="1"/>
  <c r="M321" i="20"/>
  <c r="M329" i="20" s="1"/>
  <c r="I375" i="20"/>
  <c r="I383" i="20" s="1"/>
  <c r="N375" i="20"/>
  <c r="N383" i="20" s="1"/>
  <c r="I356" i="20"/>
  <c r="I364" i="20" s="1"/>
  <c r="M356" i="20"/>
  <c r="M364" i="20" s="1"/>
  <c r="N337" i="20"/>
  <c r="N345" i="20" s="1"/>
  <c r="K318" i="20"/>
  <c r="K326" i="20" s="1"/>
  <c r="K299" i="20"/>
  <c r="K307" i="20" s="1"/>
  <c r="O299" i="20"/>
  <c r="O307" i="20" s="1"/>
  <c r="J375" i="20"/>
  <c r="J383" i="20" s="1"/>
  <c r="J356" i="20"/>
  <c r="J364" i="20" s="1"/>
  <c r="N356" i="20"/>
  <c r="N364" i="20" s="1"/>
  <c r="J337" i="20"/>
  <c r="J345" i="20" s="1"/>
  <c r="N318" i="20"/>
  <c r="N326" i="20" s="1"/>
  <c r="L299" i="20"/>
  <c r="L307" i="20" s="1"/>
  <c r="P299" i="20"/>
  <c r="P307" i="20" s="1"/>
  <c r="P375" i="20"/>
  <c r="P383" i="20" s="1"/>
  <c r="P337" i="20"/>
  <c r="P345" i="20" s="1"/>
  <c r="I318" i="20"/>
  <c r="I326" i="20" s="1"/>
  <c r="O318" i="20"/>
  <c r="O326" i="20" s="1"/>
  <c r="I299" i="20"/>
  <c r="I307" i="20" s="1"/>
  <c r="M299" i="20"/>
  <c r="M307" i="20" s="1"/>
  <c r="L375" i="20"/>
  <c r="L383" i="20" s="1"/>
  <c r="L356" i="20"/>
  <c r="L364" i="20" s="1"/>
  <c r="P356" i="20"/>
  <c r="P364" i="20" s="1"/>
  <c r="L337" i="20"/>
  <c r="L345" i="20" s="1"/>
  <c r="J318" i="20"/>
  <c r="J326" i="20" s="1"/>
  <c r="J299" i="20"/>
  <c r="J307" i="20" s="1"/>
  <c r="N299" i="20"/>
  <c r="N307" i="20" s="1"/>
  <c r="K375" i="20"/>
  <c r="K383" i="20" s="1"/>
  <c r="M375" i="20"/>
  <c r="M383" i="20" s="1"/>
  <c r="M318" i="20"/>
  <c r="M326" i="20" s="1"/>
  <c r="L318" i="20"/>
  <c r="L326" i="20" s="1"/>
  <c r="O375" i="20"/>
  <c r="O383" i="20" s="1"/>
  <c r="K337" i="20"/>
  <c r="K345" i="20" s="1"/>
  <c r="O356" i="20"/>
  <c r="O364" i="20" s="1"/>
  <c r="O337" i="20"/>
  <c r="O345" i="20" s="1"/>
  <c r="M337" i="20"/>
  <c r="M345" i="20" s="1"/>
  <c r="I337" i="20"/>
  <c r="I345" i="20" s="1"/>
  <c r="K356" i="20"/>
  <c r="K364" i="20" s="1"/>
  <c r="P318" i="20"/>
  <c r="P326" i="20" s="1"/>
  <c r="U377" i="20"/>
  <c r="U385" i="20" s="1"/>
  <c r="K377" i="20"/>
  <c r="K385" i="20" s="1"/>
  <c r="P377" i="20"/>
  <c r="P385" i="20" s="1"/>
  <c r="I358" i="20"/>
  <c r="I366" i="20" s="1"/>
  <c r="M358" i="20"/>
  <c r="M366" i="20" s="1"/>
  <c r="J339" i="20"/>
  <c r="J347" i="20" s="1"/>
  <c r="N339" i="20"/>
  <c r="N347" i="20" s="1"/>
  <c r="I320" i="20"/>
  <c r="I328" i="20" s="1"/>
  <c r="O320" i="20"/>
  <c r="O328" i="20" s="1"/>
  <c r="K301" i="20"/>
  <c r="K309" i="20" s="1"/>
  <c r="O301" i="20"/>
  <c r="O309" i="20" s="1"/>
  <c r="L377" i="20"/>
  <c r="L385" i="20" s="1"/>
  <c r="J358" i="20"/>
  <c r="J366" i="20" s="1"/>
  <c r="N358" i="20"/>
  <c r="N366" i="20" s="1"/>
  <c r="J320" i="20"/>
  <c r="J328" i="20" s="1"/>
  <c r="L301" i="20"/>
  <c r="L309" i="20" s="1"/>
  <c r="P301" i="20"/>
  <c r="P309" i="20" s="1"/>
  <c r="I377" i="20"/>
  <c r="I385" i="20" s="1"/>
  <c r="N377" i="20"/>
  <c r="N385" i="20" s="1"/>
  <c r="L339" i="20"/>
  <c r="L347" i="20" s="1"/>
  <c r="P339" i="20"/>
  <c r="P347" i="20" s="1"/>
  <c r="I301" i="20"/>
  <c r="I309" i="20" s="1"/>
  <c r="M301" i="20"/>
  <c r="M309" i="20" s="1"/>
  <c r="J377" i="20"/>
  <c r="J385" i="20" s="1"/>
  <c r="L358" i="20"/>
  <c r="L366" i="20" s="1"/>
  <c r="P358" i="20"/>
  <c r="P366" i="20" s="1"/>
  <c r="M339" i="20"/>
  <c r="M347" i="20" s="1"/>
  <c r="N320" i="20"/>
  <c r="N328" i="20" s="1"/>
  <c r="J301" i="20"/>
  <c r="J309" i="20" s="1"/>
  <c r="N301" i="20"/>
  <c r="N309" i="20" s="1"/>
  <c r="L320" i="20"/>
  <c r="L328" i="20" s="1"/>
  <c r="I339" i="20"/>
  <c r="I347" i="20" s="1"/>
  <c r="K320" i="20"/>
  <c r="K328" i="20" s="1"/>
  <c r="O377" i="20"/>
  <c r="O385" i="20" s="1"/>
  <c r="O339" i="20"/>
  <c r="O347" i="20" s="1"/>
  <c r="O358" i="20"/>
  <c r="O366" i="20" s="1"/>
  <c r="M377" i="20"/>
  <c r="M385" i="20" s="1"/>
  <c r="M320" i="20"/>
  <c r="M328" i="20" s="1"/>
  <c r="K358" i="20"/>
  <c r="K366" i="20" s="1"/>
  <c r="K339" i="20"/>
  <c r="K347" i="20" s="1"/>
  <c r="P320" i="20"/>
  <c r="P328" i="20" s="1"/>
  <c r="Q299" i="20"/>
  <c r="Q307" i="20" s="1"/>
  <c r="S299" i="20"/>
  <c r="S307" i="20" s="1"/>
  <c r="U378" i="20"/>
  <c r="U386" i="20" s="1"/>
  <c r="U302" i="20"/>
  <c r="U310" i="20" s="1"/>
  <c r="U360" i="20"/>
  <c r="U368" i="20" s="1"/>
  <c r="S379" i="20"/>
  <c r="S387" i="20" s="1"/>
  <c r="Q360" i="20"/>
  <c r="Q368" i="20" s="1"/>
  <c r="R360" i="20"/>
  <c r="R368" i="20" s="1"/>
  <c r="T303" i="20"/>
  <c r="T311" i="20" s="1"/>
  <c r="V315" i="20"/>
  <c r="T323" i="20"/>
  <c r="U361" i="20"/>
  <c r="U362" i="20"/>
  <c r="U381" i="20"/>
  <c r="V296" i="20"/>
  <c r="T304" i="20"/>
  <c r="V316" i="20"/>
  <c r="T324" i="20"/>
  <c r="U342" i="20"/>
  <c r="U344" i="20"/>
  <c r="V353" i="20"/>
  <c r="T361" i="20"/>
  <c r="V354" i="20"/>
  <c r="T362" i="20"/>
  <c r="R300" i="20"/>
  <c r="R308" i="20" s="1"/>
  <c r="Q376" i="20"/>
  <c r="Q384" i="20" s="1"/>
  <c r="U324" i="20"/>
  <c r="U363" i="20"/>
  <c r="V372" i="20"/>
  <c r="T380" i="20"/>
  <c r="U382" i="20"/>
  <c r="V335" i="20"/>
  <c r="T343" i="20"/>
  <c r="V297" i="20"/>
  <c r="T305" i="20"/>
  <c r="U323" i="20"/>
  <c r="U325" i="20"/>
  <c r="V334" i="20"/>
  <c r="T342" i="20"/>
  <c r="U343" i="20"/>
  <c r="U380" i="20"/>
  <c r="V373" i="20"/>
  <c r="T381" i="20"/>
  <c r="Q303" i="20"/>
  <c r="Q311" i="20" s="1"/>
  <c r="R322" i="20"/>
  <c r="R330" i="20" s="1"/>
  <c r="U341" i="20"/>
  <c r="R243" i="20"/>
  <c r="R256" i="20"/>
  <c r="Q269" i="20"/>
  <c r="S230" i="20"/>
  <c r="S360" i="20"/>
  <c r="S368" i="20" s="1"/>
  <c r="Q217" i="20"/>
  <c r="W247" i="20"/>
  <c r="U252" i="20"/>
  <c r="U256" i="20" s="1"/>
  <c r="S256" i="20"/>
  <c r="W260" i="20"/>
  <c r="U265" i="20"/>
  <c r="U269" i="20" s="1"/>
  <c r="U217" i="20"/>
  <c r="Q230" i="20"/>
  <c r="V221" i="20"/>
  <c r="T226" i="20"/>
  <c r="T230" i="20" s="1"/>
  <c r="T239" i="20"/>
  <c r="T243" i="20" s="1"/>
  <c r="S269" i="20"/>
  <c r="S217" i="20"/>
  <c r="V260" i="20"/>
  <c r="T265" i="20"/>
  <c r="T269" i="20" s="1"/>
  <c r="V208" i="20"/>
  <c r="S243" i="20"/>
  <c r="R269" i="20"/>
  <c r="R217" i="20"/>
  <c r="R230" i="20"/>
  <c r="W221" i="20"/>
  <c r="U226" i="20"/>
  <c r="U230" i="20" s="1"/>
  <c r="Q243" i="20"/>
  <c r="W234" i="20"/>
  <c r="U239" i="20"/>
  <c r="U243" i="20" s="1"/>
  <c r="Q256" i="20"/>
  <c r="V247" i="20"/>
  <c r="T252" i="20"/>
  <c r="T256" i="20" s="1"/>
  <c r="U303" i="20"/>
  <c r="U311" i="20" s="1"/>
  <c r="Q322" i="20"/>
  <c r="Q330" i="20" s="1"/>
  <c r="T322" i="20"/>
  <c r="T330" i="20" s="1"/>
  <c r="R341" i="20"/>
  <c r="R349" i="20" s="1"/>
  <c r="U338" i="20"/>
  <c r="U322" i="20"/>
  <c r="Q341" i="20"/>
  <c r="Q349" i="20" s="1"/>
  <c r="R379" i="20"/>
  <c r="R387" i="20" s="1"/>
  <c r="U379" i="20"/>
  <c r="Q379" i="20"/>
  <c r="Q387" i="20" s="1"/>
  <c r="T341" i="20"/>
  <c r="T349" i="20" s="1"/>
  <c r="R299" i="20"/>
  <c r="R307" i="20" s="1"/>
  <c r="R303" i="20"/>
  <c r="R311" i="20" s="1"/>
  <c r="S303" i="20"/>
  <c r="S311" i="20" s="1"/>
  <c r="S322" i="20"/>
  <c r="S330" i="20" s="1"/>
  <c r="S341" i="20"/>
  <c r="S349" i="20" s="1"/>
  <c r="T360" i="20"/>
  <c r="T368" i="20" s="1"/>
  <c r="Q356" i="20"/>
  <c r="Q364" i="20" s="1"/>
  <c r="Q338" i="20"/>
  <c r="Q346" i="20" s="1"/>
  <c r="R337" i="20"/>
  <c r="R345" i="20" s="1"/>
  <c r="U357" i="20"/>
  <c r="R375" i="20"/>
  <c r="R383" i="20" s="1"/>
  <c r="S377" i="20"/>
  <c r="S385" i="20" s="1"/>
  <c r="T377" i="20"/>
  <c r="T385" i="20" s="1"/>
  <c r="U300" i="20"/>
  <c r="U308" i="20" s="1"/>
  <c r="R377" i="20"/>
  <c r="R385" i="20" s="1"/>
  <c r="U301" i="20"/>
  <c r="U309" i="20" s="1"/>
  <c r="W208" i="20"/>
  <c r="Q319" i="20"/>
  <c r="Q327" i="20" s="1"/>
  <c r="R320" i="20"/>
  <c r="R328" i="20" s="1"/>
  <c r="S320" i="20"/>
  <c r="S328" i="20" s="1"/>
  <c r="T320" i="20"/>
  <c r="T328" i="20" s="1"/>
  <c r="U320" i="20"/>
  <c r="R302" i="20"/>
  <c r="R310" i="20" s="1"/>
  <c r="Q302" i="20"/>
  <c r="Q310" i="20" s="1"/>
  <c r="S301" i="20"/>
  <c r="S309" i="20" s="1"/>
  <c r="T301" i="20"/>
  <c r="T309" i="20" s="1"/>
  <c r="Q339" i="20"/>
  <c r="Q347" i="20" s="1"/>
  <c r="Q358" i="20"/>
  <c r="Q366" i="20" s="1"/>
  <c r="R339" i="20"/>
  <c r="R347" i="20" s="1"/>
  <c r="S358" i="20"/>
  <c r="S366" i="20" s="1"/>
  <c r="T358" i="20"/>
  <c r="T366" i="20" s="1"/>
  <c r="U358" i="20"/>
  <c r="U321" i="20"/>
  <c r="S339" i="20"/>
  <c r="S347" i="20" s="1"/>
  <c r="T340" i="20"/>
  <c r="T348" i="20" s="1"/>
  <c r="R358" i="20"/>
  <c r="R366" i="20" s="1"/>
  <c r="Q377" i="20"/>
  <c r="Q385" i="20" s="1"/>
  <c r="S375" i="20"/>
  <c r="S383" i="20" s="1"/>
  <c r="U299" i="20"/>
  <c r="U307" i="20" s="1"/>
  <c r="Q301" i="20"/>
  <c r="Q309" i="20" s="1"/>
  <c r="R301" i="20"/>
  <c r="R309" i="20" s="1"/>
  <c r="Q320" i="20"/>
  <c r="Q328" i="20" s="1"/>
  <c r="R321" i="20"/>
  <c r="R329" i="20" s="1"/>
  <c r="U319" i="20"/>
  <c r="T339" i="20"/>
  <c r="T347" i="20" s="1"/>
  <c r="U339" i="20"/>
  <c r="R356" i="20"/>
  <c r="R364" i="20" s="1"/>
  <c r="S359" i="20"/>
  <c r="S367" i="20" s="1"/>
  <c r="R340" i="20"/>
  <c r="R348" i="20" s="1"/>
  <c r="U340" i="20"/>
  <c r="T359" i="20"/>
  <c r="T367" i="20" s="1"/>
  <c r="Q378" i="20"/>
  <c r="Q386" i="20" s="1"/>
  <c r="S378" i="20"/>
  <c r="S386" i="20" s="1"/>
  <c r="S302" i="20"/>
  <c r="S310" i="20" s="1"/>
  <c r="S321" i="20"/>
  <c r="S329" i="20" s="1"/>
  <c r="R359" i="20"/>
  <c r="R367" i="20" s="1"/>
  <c r="U359" i="20"/>
  <c r="T378" i="20"/>
  <c r="T386" i="20" s="1"/>
  <c r="T302" i="20"/>
  <c r="T310" i="20" s="1"/>
  <c r="Q321" i="20"/>
  <c r="Q329" i="20" s="1"/>
  <c r="T321" i="20"/>
  <c r="T329" i="20" s="1"/>
  <c r="Q340" i="20"/>
  <c r="Q348" i="20" s="1"/>
  <c r="S340" i="20"/>
  <c r="S348" i="20" s="1"/>
  <c r="Q359" i="20"/>
  <c r="Q367" i="20" s="1"/>
  <c r="R378" i="20"/>
  <c r="R386" i="20" s="1"/>
  <c r="T300" i="20"/>
  <c r="T308" i="20" s="1"/>
  <c r="Q318" i="20"/>
  <c r="Q326" i="20" s="1"/>
  <c r="T319" i="20"/>
  <c r="T327" i="20" s="1"/>
  <c r="U318" i="20"/>
  <c r="Q337" i="20"/>
  <c r="Q345" i="20" s="1"/>
  <c r="T338" i="20"/>
  <c r="T346" i="20" s="1"/>
  <c r="U337" i="20"/>
  <c r="T357" i="20"/>
  <c r="T365" i="20" s="1"/>
  <c r="U356" i="20"/>
  <c r="Q375" i="20"/>
  <c r="Q383" i="20" s="1"/>
  <c r="T376" i="20"/>
  <c r="T384" i="20" s="1"/>
  <c r="U375" i="20"/>
  <c r="U376" i="20"/>
  <c r="Q300" i="20"/>
  <c r="Q308" i="20" s="1"/>
  <c r="S308" i="20"/>
  <c r="T299" i="20"/>
  <c r="T307" i="20" s="1"/>
  <c r="R319" i="20"/>
  <c r="R327" i="20" s="1"/>
  <c r="S319" i="20"/>
  <c r="S327" i="20" s="1"/>
  <c r="T318" i="20"/>
  <c r="T326" i="20" s="1"/>
  <c r="S338" i="20"/>
  <c r="S346" i="20" s="1"/>
  <c r="T337" i="20"/>
  <c r="T345" i="20" s="1"/>
  <c r="S357" i="20"/>
  <c r="S365" i="20" s="1"/>
  <c r="T356" i="20"/>
  <c r="T364" i="20" s="1"/>
  <c r="S376" i="20"/>
  <c r="S384" i="20" s="1"/>
  <c r="T375" i="20"/>
  <c r="T383" i="20" s="1"/>
  <c r="R318" i="20"/>
  <c r="R326" i="20" s="1"/>
  <c r="S318" i="20"/>
  <c r="S326" i="20" s="1"/>
  <c r="R338" i="20"/>
  <c r="R346" i="20" s="1"/>
  <c r="S337" i="20"/>
  <c r="S345" i="20" s="1"/>
  <c r="Q357" i="20"/>
  <c r="Q365" i="20" s="1"/>
  <c r="R357" i="20"/>
  <c r="R365" i="20" s="1"/>
  <c r="S356" i="20"/>
  <c r="S364" i="20" s="1"/>
  <c r="R376" i="20"/>
  <c r="R384" i="20" s="1"/>
  <c r="F129" i="20"/>
  <c r="F130" i="20"/>
  <c r="F125" i="20"/>
  <c r="F128" i="20"/>
  <c r="F124" i="20"/>
  <c r="F127" i="20"/>
  <c r="J312" i="20" l="1"/>
  <c r="L369" i="20"/>
  <c r="O369" i="20"/>
  <c r="M331" i="20"/>
  <c r="O331" i="20"/>
  <c r="P312" i="20"/>
  <c r="N369" i="20"/>
  <c r="K312" i="20"/>
  <c r="K350" i="20"/>
  <c r="L388" i="20"/>
  <c r="I369" i="20"/>
  <c r="L350" i="20"/>
  <c r="K369" i="20"/>
  <c r="I350" i="20"/>
  <c r="M388" i="20"/>
  <c r="J331" i="20"/>
  <c r="I331" i="20"/>
  <c r="L312" i="20"/>
  <c r="J369" i="20"/>
  <c r="K331" i="20"/>
  <c r="N388" i="20"/>
  <c r="M350" i="20"/>
  <c r="O388" i="20"/>
  <c r="K388" i="20"/>
  <c r="M312" i="20"/>
  <c r="P350" i="20"/>
  <c r="N331" i="20"/>
  <c r="J388" i="20"/>
  <c r="N350" i="20"/>
  <c r="I388" i="20"/>
  <c r="P331" i="20"/>
  <c r="O350" i="20"/>
  <c r="L331" i="20"/>
  <c r="N312" i="20"/>
  <c r="P369" i="20"/>
  <c r="I312" i="20"/>
  <c r="P388" i="20"/>
  <c r="J350" i="20"/>
  <c r="O312" i="20"/>
  <c r="M369" i="20"/>
  <c r="Q350" i="20"/>
  <c r="S388" i="20"/>
  <c r="V390" i="20"/>
  <c r="S312" i="20"/>
  <c r="Q312" i="20"/>
  <c r="Q388" i="20"/>
  <c r="Q331" i="20"/>
  <c r="R331" i="20"/>
  <c r="U312" i="20"/>
  <c r="R369" i="20"/>
  <c r="R312" i="20"/>
  <c r="S369" i="20"/>
  <c r="S331" i="20"/>
  <c r="S350" i="20"/>
  <c r="R350" i="20"/>
  <c r="R388" i="20"/>
  <c r="Q369" i="20"/>
  <c r="U383" i="20"/>
  <c r="U326" i="20"/>
  <c r="U367" i="20"/>
  <c r="U330" i="20"/>
  <c r="U345" i="20"/>
  <c r="U327" i="20"/>
  <c r="U366" i="20"/>
  <c r="U365" i="20"/>
  <c r="U346" i="20"/>
  <c r="T331" i="20"/>
  <c r="T350" i="20"/>
  <c r="T369" i="20"/>
  <c r="U329" i="20"/>
  <c r="T388" i="20"/>
  <c r="T312" i="20"/>
  <c r="U328" i="20"/>
  <c r="U387" i="20"/>
  <c r="U349" i="20"/>
  <c r="U384" i="20"/>
  <c r="U364" i="20"/>
  <c r="U348" i="20"/>
  <c r="U347" i="20"/>
  <c r="V270" i="20"/>
  <c r="Q270" i="20"/>
  <c r="Q271" i="20" s="1"/>
  <c r="U270" i="20"/>
  <c r="U271" i="20" s="1"/>
  <c r="W270" i="20"/>
  <c r="S270" i="20"/>
  <c r="S271" i="20" s="1"/>
  <c r="R270" i="20"/>
  <c r="R271" i="20" s="1"/>
  <c r="T217" i="20"/>
  <c r="T270" i="20" s="1"/>
  <c r="T271" i="20" s="1"/>
  <c r="H69" i="1"/>
  <c r="I69" i="1"/>
  <c r="J69" i="1"/>
  <c r="K69" i="1"/>
  <c r="L69" i="1"/>
  <c r="M69" i="1"/>
  <c r="N69" i="1"/>
  <c r="O69" i="1"/>
  <c r="P69" i="1"/>
  <c r="Q69" i="1"/>
  <c r="R69" i="1"/>
  <c r="S69" i="1"/>
  <c r="I389" i="20" l="1"/>
  <c r="I395" i="20" s="1"/>
  <c r="I396" i="20" s="1"/>
  <c r="E7" i="5" s="1"/>
  <c r="E24" i="5" s="1"/>
  <c r="E153" i="5" s="1"/>
  <c r="E158" i="5" s="1"/>
  <c r="K389" i="20"/>
  <c r="N389" i="20"/>
  <c r="M389" i="20"/>
  <c r="P389" i="20"/>
  <c r="O389" i="20"/>
  <c r="L389" i="20"/>
  <c r="J389" i="20"/>
  <c r="Q389" i="20"/>
  <c r="R389" i="20"/>
  <c r="S389" i="20"/>
  <c r="U331" i="20"/>
  <c r="U369" i="20"/>
  <c r="U350" i="20"/>
  <c r="U388" i="20"/>
  <c r="T389" i="20"/>
  <c r="M395" i="20" l="1"/>
  <c r="M396" i="20" s="1"/>
  <c r="I7" i="5" s="1"/>
  <c r="T395" i="20"/>
  <c r="T396" i="20" s="1"/>
  <c r="P7" i="5" s="1"/>
  <c r="L395" i="20"/>
  <c r="L396" i="20" s="1"/>
  <c r="H7" i="5" s="1"/>
  <c r="N395" i="20"/>
  <c r="N396" i="20" s="1"/>
  <c r="J7" i="5" s="1"/>
  <c r="S395" i="20"/>
  <c r="S396" i="20" s="1"/>
  <c r="O7" i="5" s="1"/>
  <c r="O395" i="20"/>
  <c r="O396" i="20" s="1"/>
  <c r="K7" i="5" s="1"/>
  <c r="K395" i="20"/>
  <c r="K396" i="20" s="1"/>
  <c r="G7" i="5" s="1"/>
  <c r="Q395" i="20"/>
  <c r="Q396" i="20" s="1"/>
  <c r="M7" i="5" s="1"/>
  <c r="R395" i="20"/>
  <c r="R396" i="20" s="1"/>
  <c r="N7" i="5" s="1"/>
  <c r="J395" i="20"/>
  <c r="J396" i="20" s="1"/>
  <c r="F7" i="5" s="1"/>
  <c r="P395" i="20"/>
  <c r="P396" i="20" s="1"/>
  <c r="L7" i="5" s="1"/>
  <c r="E161" i="5"/>
  <c r="E61" i="5"/>
  <c r="U389" i="20"/>
  <c r="U395" i="20" s="1"/>
  <c r="U396" i="20" s="1"/>
  <c r="J61" i="5" l="1"/>
  <c r="J24" i="5"/>
  <c r="J153" i="5" s="1"/>
  <c r="J158" i="5" s="1"/>
  <c r="J161" i="5"/>
  <c r="J73" i="5"/>
  <c r="H161" i="5"/>
  <c r="H61" i="5"/>
  <c r="H24" i="5"/>
  <c r="H153" i="5" s="1"/>
  <c r="H158" i="5" s="1"/>
  <c r="H73" i="5"/>
  <c r="G61" i="5"/>
  <c r="G161" i="5"/>
  <c r="G24" i="5"/>
  <c r="G153" i="5" s="1"/>
  <c r="G158" i="5" s="1"/>
  <c r="G73" i="5"/>
  <c r="F24" i="5"/>
  <c r="F153" i="5" s="1"/>
  <c r="F158" i="5" s="1"/>
  <c r="F73" i="5"/>
  <c r="F61" i="5"/>
  <c r="F161" i="5"/>
  <c r="K24" i="5"/>
  <c r="K153" i="5" s="1"/>
  <c r="K158" i="5" s="1"/>
  <c r="K73" i="5"/>
  <c r="K61" i="5"/>
  <c r="K161" i="5"/>
  <c r="P61" i="5"/>
  <c r="P24" i="5"/>
  <c r="P153" i="5" s="1"/>
  <c r="P158" i="5" s="1"/>
  <c r="P161" i="5"/>
  <c r="P73" i="5"/>
  <c r="M24" i="5"/>
  <c r="M153" i="5" s="1"/>
  <c r="M158" i="5" s="1"/>
  <c r="M73" i="5"/>
  <c r="M61" i="5"/>
  <c r="M161" i="5"/>
  <c r="L61" i="5"/>
  <c r="L161" i="5"/>
  <c r="L24" i="5"/>
  <c r="L153" i="5" s="1"/>
  <c r="L158" i="5" s="1"/>
  <c r="L73" i="5"/>
  <c r="N61" i="5"/>
  <c r="N161" i="5"/>
  <c r="N73" i="5"/>
  <c r="N24" i="5"/>
  <c r="N153" i="5" s="1"/>
  <c r="N158" i="5" s="1"/>
  <c r="O61" i="5"/>
  <c r="O161" i="5"/>
  <c r="O24" i="5"/>
  <c r="O153" i="5" s="1"/>
  <c r="O158" i="5" s="1"/>
  <c r="O73" i="5"/>
  <c r="I161" i="5"/>
  <c r="I73" i="5"/>
  <c r="I61" i="5"/>
  <c r="I24" i="5"/>
  <c r="I153" i="5" s="1"/>
  <c r="I158" i="5" s="1"/>
  <c r="Q7" i="5"/>
  <c r="T7" i="5" l="1"/>
  <c r="S7" i="5"/>
  <c r="Q61" i="5"/>
  <c r="Q161" i="5"/>
  <c r="T161" i="5" s="1"/>
  <c r="Q24" i="5"/>
  <c r="Q153" i="5" s="1"/>
  <c r="Q158" i="5" s="1"/>
  <c r="Q73" i="5"/>
  <c r="F98" i="5"/>
  <c r="S161" i="5" l="1"/>
  <c r="T158" i="5"/>
  <c r="S158" i="5"/>
  <c r="V68" i="1" l="1"/>
  <c r="F79" i="5"/>
  <c r="E10" i="5"/>
  <c r="E164" i="5" s="1"/>
  <c r="F10" i="5"/>
  <c r="F164" i="5" s="1"/>
  <c r="G10" i="5"/>
  <c r="H10" i="5"/>
  <c r="H164" i="5" s="1"/>
  <c r="I10" i="5"/>
  <c r="J10" i="5"/>
  <c r="J164" i="5" s="1"/>
  <c r="F5" i="5"/>
  <c r="F159" i="5" s="1"/>
  <c r="G5" i="5"/>
  <c r="H5" i="5"/>
  <c r="H159" i="5" s="1"/>
  <c r="I5" i="5"/>
  <c r="I159" i="5" s="1"/>
  <c r="J5" i="5"/>
  <c r="I64" i="5" l="1"/>
  <c r="I164" i="5"/>
  <c r="G59" i="5"/>
  <c r="G159" i="5"/>
  <c r="J59" i="5"/>
  <c r="J159" i="5"/>
  <c r="G64" i="5"/>
  <c r="G164" i="5"/>
  <c r="H76" i="5"/>
  <c r="H64" i="5"/>
  <c r="I71" i="5"/>
  <c r="I59" i="5"/>
  <c r="J76" i="5"/>
  <c r="J64" i="5"/>
  <c r="F76" i="5"/>
  <c r="F64" i="5"/>
  <c r="H71" i="5"/>
  <c r="H59" i="5"/>
  <c r="E22" i="5"/>
  <c r="E151" i="5" s="1"/>
  <c r="E156" i="5" s="1"/>
  <c r="E64" i="5"/>
  <c r="F71" i="5"/>
  <c r="F59" i="5"/>
  <c r="I76" i="5"/>
  <c r="G71" i="5"/>
  <c r="J79" i="5"/>
  <c r="G79" i="5"/>
  <c r="H79" i="5"/>
  <c r="J71" i="5"/>
  <c r="G76" i="5"/>
  <c r="I79" i="5"/>
  <c r="J22" i="5"/>
  <c r="J151" i="5" s="1"/>
  <c r="J156" i="5" s="1"/>
  <c r="I22" i="5"/>
  <c r="I151" i="5" s="1"/>
  <c r="I156" i="5" s="1"/>
  <c r="H22" i="5"/>
  <c r="H151" i="5" s="1"/>
  <c r="H156" i="5" s="1"/>
  <c r="G22" i="5"/>
  <c r="G151" i="5" s="1"/>
  <c r="G156" i="5" s="1"/>
  <c r="F22" i="5"/>
  <c r="F151" i="5" s="1"/>
  <c r="F156" i="5" s="1"/>
  <c r="H81" i="2"/>
  <c r="H89" i="2" s="1"/>
  <c r="I81" i="2"/>
  <c r="I89" i="2" s="1"/>
  <c r="J81" i="2"/>
  <c r="J89" i="2" s="1"/>
  <c r="K81" i="2"/>
  <c r="K89" i="2" s="1"/>
  <c r="L81" i="2"/>
  <c r="L89" i="2" s="1"/>
  <c r="M81" i="2"/>
  <c r="M89" i="2" s="1"/>
  <c r="H71" i="2"/>
  <c r="H74" i="2" s="1"/>
  <c r="I71" i="2"/>
  <c r="I73" i="2" s="1"/>
  <c r="J71" i="2"/>
  <c r="J73" i="2" s="1"/>
  <c r="K71" i="2"/>
  <c r="K73" i="2" s="1"/>
  <c r="L71" i="2"/>
  <c r="L74" i="2" s="1"/>
  <c r="M71" i="2"/>
  <c r="M74" i="2" s="1"/>
  <c r="E14" i="5" l="1"/>
  <c r="E149" i="5" s="1"/>
  <c r="H85" i="2"/>
  <c r="H14" i="5"/>
  <c r="H149" i="5" s="1"/>
  <c r="K85" i="2"/>
  <c r="G14" i="5"/>
  <c r="G149" i="5" s="1"/>
  <c r="J85" i="2"/>
  <c r="J14" i="5"/>
  <c r="J149" i="5" s="1"/>
  <c r="M85" i="2"/>
  <c r="F14" i="5"/>
  <c r="F149" i="5" s="1"/>
  <c r="I85" i="2"/>
  <c r="I14" i="5"/>
  <c r="I149" i="5" s="1"/>
  <c r="L85" i="2"/>
  <c r="K74" i="2"/>
  <c r="J74" i="2"/>
  <c r="K72" i="2"/>
  <c r="J72" i="2"/>
  <c r="M73" i="2"/>
  <c r="M72" i="2"/>
  <c r="I72" i="2"/>
  <c r="I74" i="2"/>
  <c r="L73" i="2"/>
  <c r="H73" i="2"/>
  <c r="L72" i="2"/>
  <c r="H72" i="2"/>
  <c r="I154" i="5" l="1"/>
  <c r="I212" i="5" s="1"/>
  <c r="J154" i="5"/>
  <c r="J212" i="5" s="1"/>
  <c r="H154" i="5"/>
  <c r="H212" i="5" s="1"/>
  <c r="F154" i="5"/>
  <c r="F212" i="5" s="1"/>
  <c r="G154" i="5"/>
  <c r="G212" i="5" s="1"/>
  <c r="E154" i="5"/>
  <c r="E212" i="5" s="1"/>
  <c r="I48" i="5"/>
  <c r="H48" i="5"/>
  <c r="F48" i="5"/>
  <c r="E48" i="5"/>
  <c r="J21" i="5"/>
  <c r="J55" i="5" s="1"/>
  <c r="J48" i="5"/>
  <c r="G21" i="5"/>
  <c r="G55" i="5" s="1"/>
  <c r="G48" i="5"/>
  <c r="E20" i="5"/>
  <c r="E54" i="5" s="1"/>
  <c r="E21" i="5"/>
  <c r="E55" i="5" s="1"/>
  <c r="I46" i="5"/>
  <c r="I21" i="5"/>
  <c r="I55" i="5" s="1"/>
  <c r="H46" i="5"/>
  <c r="H21" i="5"/>
  <c r="H55" i="5" s="1"/>
  <c r="F46" i="5"/>
  <c r="F21" i="5"/>
  <c r="F55" i="5" s="1"/>
  <c r="J46" i="5"/>
  <c r="G46" i="5"/>
  <c r="I56" i="5"/>
  <c r="H56" i="5"/>
  <c r="J56" i="5"/>
  <c r="F56" i="5"/>
  <c r="G56" i="5"/>
  <c r="E125" i="5"/>
  <c r="E56" i="5"/>
  <c r="E133" i="5"/>
  <c r="I20" i="5"/>
  <c r="I54" i="5" s="1"/>
  <c r="I18" i="5"/>
  <c r="I16" i="5"/>
  <c r="I50" i="5" s="1"/>
  <c r="I19" i="5"/>
  <c r="I53" i="5" s="1"/>
  <c r="I17" i="5"/>
  <c r="I51" i="5" s="1"/>
  <c r="I15" i="5"/>
  <c r="I49" i="5" s="1"/>
  <c r="H20" i="5"/>
  <c r="H54" i="5" s="1"/>
  <c r="H18" i="5"/>
  <c r="H16" i="5"/>
  <c r="H50" i="5" s="1"/>
  <c r="H19" i="5"/>
  <c r="H53" i="5" s="1"/>
  <c r="H17" i="5"/>
  <c r="H51" i="5" s="1"/>
  <c r="H15" i="5"/>
  <c r="H49" i="5" s="1"/>
  <c r="J19" i="5"/>
  <c r="J53" i="5" s="1"/>
  <c r="J17" i="5"/>
  <c r="J51" i="5" s="1"/>
  <c r="J15" i="5"/>
  <c r="J49" i="5" s="1"/>
  <c r="J20" i="5"/>
  <c r="J54" i="5" s="1"/>
  <c r="J18" i="5"/>
  <c r="J16" i="5"/>
  <c r="J50" i="5" s="1"/>
  <c r="F19" i="5"/>
  <c r="F53" i="5" s="1"/>
  <c r="F17" i="5"/>
  <c r="F51" i="5" s="1"/>
  <c r="F15" i="5"/>
  <c r="F49" i="5" s="1"/>
  <c r="F20" i="5"/>
  <c r="F54" i="5" s="1"/>
  <c r="F18" i="5"/>
  <c r="F16" i="5"/>
  <c r="F50" i="5" s="1"/>
  <c r="G19" i="5"/>
  <c r="G53" i="5" s="1"/>
  <c r="G17" i="5"/>
  <c r="G51" i="5" s="1"/>
  <c r="G15" i="5"/>
  <c r="G49" i="5" s="1"/>
  <c r="G20" i="5"/>
  <c r="G54" i="5" s="1"/>
  <c r="G18" i="5"/>
  <c r="G16" i="5"/>
  <c r="G50" i="5" s="1"/>
  <c r="E19" i="5"/>
  <c r="E53" i="5" s="1"/>
  <c r="E17" i="5"/>
  <c r="E51" i="5" s="1"/>
  <c r="E15" i="5"/>
  <c r="E49" i="5" s="1"/>
  <c r="E18" i="5"/>
  <c r="E16" i="5"/>
  <c r="E50" i="5" s="1"/>
  <c r="O71" i="2"/>
  <c r="O74" i="2" s="1"/>
  <c r="P71" i="2"/>
  <c r="P74" i="2" s="1"/>
  <c r="Q71" i="2"/>
  <c r="Q74" i="2" s="1"/>
  <c r="R71" i="2"/>
  <c r="R73" i="2" s="1"/>
  <c r="S74" i="2"/>
  <c r="N71" i="2"/>
  <c r="N73" i="2" s="1"/>
  <c r="E52" i="5" l="1"/>
  <c r="E150" i="5"/>
  <c r="E155" i="5" s="1"/>
  <c r="E213" i="5" s="1"/>
  <c r="I52" i="5"/>
  <c r="I150" i="5"/>
  <c r="I155" i="5" s="1"/>
  <c r="I213" i="5" s="1"/>
  <c r="J52" i="5"/>
  <c r="J150" i="5"/>
  <c r="J155" i="5" s="1"/>
  <c r="J213" i="5" s="1"/>
  <c r="H52" i="5"/>
  <c r="H150" i="5"/>
  <c r="H155" i="5" s="1"/>
  <c r="H213" i="5" s="1"/>
  <c r="G52" i="5"/>
  <c r="G150" i="5"/>
  <c r="G155" i="5" s="1"/>
  <c r="G213" i="5" s="1"/>
  <c r="F52" i="5"/>
  <c r="F150" i="5"/>
  <c r="F155" i="5" s="1"/>
  <c r="F213" i="5" s="1"/>
  <c r="E126" i="5"/>
  <c r="E127" i="5"/>
  <c r="E128" i="5"/>
  <c r="E129" i="5"/>
  <c r="E130" i="5"/>
  <c r="E131" i="5"/>
  <c r="P72" i="2"/>
  <c r="S73" i="2"/>
  <c r="N72" i="2"/>
  <c r="O73" i="2"/>
  <c r="R72" i="2"/>
  <c r="N74" i="2"/>
  <c r="Q73" i="2"/>
  <c r="R74" i="2"/>
  <c r="Q72" i="2"/>
  <c r="P73" i="2"/>
  <c r="S72" i="2"/>
  <c r="O72" i="2"/>
  <c r="O81" i="2"/>
  <c r="O89" i="2" s="1"/>
  <c r="P81" i="2"/>
  <c r="P89" i="2" s="1"/>
  <c r="Q81" i="2"/>
  <c r="Q89" i="2" s="1"/>
  <c r="R81" i="2"/>
  <c r="R89" i="2" s="1"/>
  <c r="S81" i="2"/>
  <c r="T81" i="2"/>
  <c r="N81" i="2"/>
  <c r="N89" i="2" s="1"/>
  <c r="K79" i="5"/>
  <c r="P79" i="5" l="1"/>
  <c r="N79" i="5"/>
  <c r="M79" i="5"/>
  <c r="Q79" i="5"/>
  <c r="L79" i="5"/>
  <c r="O79" i="5"/>
  <c r="P90" i="2"/>
  <c r="S89" i="2"/>
  <c r="T89" i="2"/>
  <c r="T90" i="2" s="1"/>
  <c r="R85" i="2"/>
  <c r="N85" i="2"/>
  <c r="Q85" i="2"/>
  <c r="P85" i="2"/>
  <c r="S85" i="2"/>
  <c r="O85" i="2"/>
  <c r="L5" i="5"/>
  <c r="M5" i="5"/>
  <c r="N5" i="5"/>
  <c r="O5" i="5"/>
  <c r="O159" i="5" s="1"/>
  <c r="P5" i="5"/>
  <c r="Q5" i="5"/>
  <c r="K5" i="5"/>
  <c r="L10" i="5"/>
  <c r="M10" i="5"/>
  <c r="N10" i="5"/>
  <c r="O10" i="5"/>
  <c r="P10" i="5"/>
  <c r="Q10" i="5"/>
  <c r="K10" i="5"/>
  <c r="K164" i="5" s="1"/>
  <c r="T5" i="5" l="1"/>
  <c r="S5" i="5"/>
  <c r="T10" i="5"/>
  <c r="S10" i="5"/>
  <c r="P64" i="5"/>
  <c r="P164" i="5"/>
  <c r="L64" i="5"/>
  <c r="L164" i="5"/>
  <c r="O64" i="5"/>
  <c r="O164" i="5"/>
  <c r="N59" i="5"/>
  <c r="N159" i="5"/>
  <c r="N64" i="5"/>
  <c r="N164" i="5"/>
  <c r="M59" i="5"/>
  <c r="M159" i="5"/>
  <c r="K59" i="5"/>
  <c r="K159" i="5"/>
  <c r="Q59" i="5"/>
  <c r="Q159" i="5"/>
  <c r="Q64" i="5"/>
  <c r="Q164" i="5"/>
  <c r="M64" i="5"/>
  <c r="M164" i="5"/>
  <c r="P59" i="5"/>
  <c r="P159" i="5"/>
  <c r="L59" i="5"/>
  <c r="L159" i="5"/>
  <c r="O71" i="5"/>
  <c r="O59" i="5"/>
  <c r="K76" i="5"/>
  <c r="K64" i="5"/>
  <c r="N76" i="5"/>
  <c r="M71" i="5"/>
  <c r="L76" i="5"/>
  <c r="O76" i="5"/>
  <c r="N22" i="5"/>
  <c r="N151" i="5" s="1"/>
  <c r="N156" i="5" s="1"/>
  <c r="N71" i="5"/>
  <c r="Q22" i="5"/>
  <c r="Q151" i="5" s="1"/>
  <c r="Q156" i="5" s="1"/>
  <c r="S156" i="5" s="1"/>
  <c r="Q71" i="5"/>
  <c r="P76" i="5"/>
  <c r="K22" i="5"/>
  <c r="K151" i="5" s="1"/>
  <c r="K156" i="5" s="1"/>
  <c r="K71" i="5"/>
  <c r="F101" i="5"/>
  <c r="Q76" i="5"/>
  <c r="M76" i="5"/>
  <c r="P22" i="5"/>
  <c r="P151" i="5" s="1"/>
  <c r="P156" i="5" s="1"/>
  <c r="P71" i="5"/>
  <c r="L71" i="5"/>
  <c r="L22" i="5"/>
  <c r="L151" i="5" s="1"/>
  <c r="L156" i="5" s="1"/>
  <c r="M22" i="5"/>
  <c r="M151" i="5" s="1"/>
  <c r="M156" i="5" s="1"/>
  <c r="O22" i="5"/>
  <c r="O151" i="5" s="1"/>
  <c r="O156" i="5" s="1"/>
  <c r="K14" i="5"/>
  <c r="K149" i="5" s="1"/>
  <c r="F95" i="5"/>
  <c r="Q14" i="5"/>
  <c r="M14" i="5"/>
  <c r="M149" i="5" s="1"/>
  <c r="P14" i="5"/>
  <c r="P149" i="5" s="1"/>
  <c r="L14" i="5"/>
  <c r="L149" i="5" s="1"/>
  <c r="O14" i="5"/>
  <c r="O149" i="5" s="1"/>
  <c r="N14" i="5"/>
  <c r="N149" i="5" s="1"/>
  <c r="N154" i="5" l="1"/>
  <c r="N212" i="5" s="1"/>
  <c r="M154" i="5"/>
  <c r="M212" i="5" s="1"/>
  <c r="O154" i="5"/>
  <c r="O212" i="5" s="1"/>
  <c r="L154" i="5"/>
  <c r="L212" i="5" s="1"/>
  <c r="P154" i="5"/>
  <c r="P212" i="5" s="1"/>
  <c r="K154" i="5"/>
  <c r="K212" i="5" s="1"/>
  <c r="T156" i="5"/>
  <c r="Q149" i="5"/>
  <c r="S164" i="5"/>
  <c r="T164" i="5"/>
  <c r="T159" i="5"/>
  <c r="S159" i="5"/>
  <c r="F106" i="5"/>
  <c r="F107" i="5"/>
  <c r="E235" i="5" s="1"/>
  <c r="N48" i="5"/>
  <c r="K48" i="5"/>
  <c r="K20" i="5"/>
  <c r="K54" i="5" s="1"/>
  <c r="M21" i="5"/>
  <c r="M55" i="5" s="1"/>
  <c r="M48" i="5"/>
  <c r="Q21" i="5"/>
  <c r="Q55" i="5" s="1"/>
  <c r="Q48" i="5"/>
  <c r="P21" i="5"/>
  <c r="P55" i="5" s="1"/>
  <c r="P48" i="5"/>
  <c r="O21" i="5"/>
  <c r="O55" i="5" s="1"/>
  <c r="O48" i="5"/>
  <c r="L21" i="5"/>
  <c r="L55" i="5" s="1"/>
  <c r="L48" i="5"/>
  <c r="N46" i="5"/>
  <c r="N21" i="5"/>
  <c r="N55" i="5" s="1"/>
  <c r="K46" i="5"/>
  <c r="K21" i="5"/>
  <c r="K55" i="5" s="1"/>
  <c r="Q46" i="5"/>
  <c r="O46" i="5"/>
  <c r="L46" i="5"/>
  <c r="P46" i="5"/>
  <c r="M46" i="5"/>
  <c r="O56" i="5"/>
  <c r="N56" i="5"/>
  <c r="Q56" i="5"/>
  <c r="E111" i="5"/>
  <c r="L56" i="5"/>
  <c r="P56" i="5"/>
  <c r="M56" i="5"/>
  <c r="K56" i="5"/>
  <c r="O20" i="5"/>
  <c r="O54" i="5" s="1"/>
  <c r="L20" i="5"/>
  <c r="L54" i="5" s="1"/>
  <c r="N20" i="5"/>
  <c r="N54" i="5" s="1"/>
  <c r="P20" i="5"/>
  <c r="P54" i="5" s="1"/>
  <c r="G119" i="5"/>
  <c r="F119" i="5"/>
  <c r="E119" i="5"/>
  <c r="M20" i="5"/>
  <c r="M54" i="5" s="1"/>
  <c r="G133" i="5"/>
  <c r="G125" i="5"/>
  <c r="F125" i="5"/>
  <c r="K16" i="5"/>
  <c r="K50" i="5" s="1"/>
  <c r="G111" i="5"/>
  <c r="F133" i="5"/>
  <c r="F111" i="5"/>
  <c r="Q20" i="5"/>
  <c r="Q54" i="5" s="1"/>
  <c r="L18" i="5"/>
  <c r="L19" i="5"/>
  <c r="L53" i="5" s="1"/>
  <c r="N19" i="5"/>
  <c r="N53" i="5" s="1"/>
  <c r="N18" i="5"/>
  <c r="P18" i="5"/>
  <c r="P19" i="5"/>
  <c r="P53" i="5" s="1"/>
  <c r="Q17" i="5"/>
  <c r="Q51" i="5" s="1"/>
  <c r="Q18" i="5"/>
  <c r="Q19" i="5"/>
  <c r="Q53" i="5" s="1"/>
  <c r="K18" i="5"/>
  <c r="K19" i="5"/>
  <c r="K53" i="5" s="1"/>
  <c r="M18" i="5"/>
  <c r="M19" i="5"/>
  <c r="M53" i="5" s="1"/>
  <c r="O18" i="5"/>
  <c r="O19" i="5"/>
  <c r="O53" i="5" s="1"/>
  <c r="P15" i="5"/>
  <c r="P49" i="5" s="1"/>
  <c r="P17" i="5"/>
  <c r="P51" i="5" s="1"/>
  <c r="P16" i="5"/>
  <c r="P50" i="5" s="1"/>
  <c r="L15" i="5"/>
  <c r="L49" i="5" s="1"/>
  <c r="L17" i="5"/>
  <c r="L51" i="5" s="1"/>
  <c r="L16" i="5"/>
  <c r="L50" i="5" s="1"/>
  <c r="K17" i="5"/>
  <c r="K51" i="5" s="1"/>
  <c r="K15" i="5"/>
  <c r="K49" i="5" s="1"/>
  <c r="M16" i="5"/>
  <c r="M50" i="5" s="1"/>
  <c r="M15" i="5"/>
  <c r="M49" i="5" s="1"/>
  <c r="M17" i="5"/>
  <c r="M51" i="5" s="1"/>
  <c r="N17" i="5"/>
  <c r="N51" i="5" s="1"/>
  <c r="N16" i="5"/>
  <c r="N50" i="5" s="1"/>
  <c r="N15" i="5"/>
  <c r="N49" i="5" s="1"/>
  <c r="O17" i="5"/>
  <c r="O51" i="5" s="1"/>
  <c r="O16" i="5"/>
  <c r="O50" i="5" s="1"/>
  <c r="O15" i="5"/>
  <c r="O49" i="5" s="1"/>
  <c r="Q16" i="5"/>
  <c r="Q50" i="5" s="1"/>
  <c r="Q15" i="5"/>
  <c r="Q49" i="5" s="1"/>
  <c r="F235" i="5" l="1"/>
  <c r="E234" i="5"/>
  <c r="F234" i="5" s="1"/>
  <c r="Q154" i="5"/>
  <c r="S148" i="5" s="1"/>
  <c r="F108" i="5"/>
  <c r="E242" i="5" s="1"/>
  <c r="K52" i="5"/>
  <c r="K150" i="5"/>
  <c r="K155" i="5" s="1"/>
  <c r="K213" i="5" s="1"/>
  <c r="L52" i="5"/>
  <c r="L150" i="5"/>
  <c r="L155" i="5" s="1"/>
  <c r="L213" i="5" s="1"/>
  <c r="M52" i="5"/>
  <c r="M150" i="5"/>
  <c r="M155" i="5" s="1"/>
  <c r="M213" i="5" s="1"/>
  <c r="Q52" i="5"/>
  <c r="Q150" i="5"/>
  <c r="Q155" i="5" s="1"/>
  <c r="N52" i="5"/>
  <c r="N150" i="5"/>
  <c r="N155" i="5" s="1"/>
  <c r="N213" i="5" s="1"/>
  <c r="O52" i="5"/>
  <c r="O150" i="5"/>
  <c r="O155" i="5" s="1"/>
  <c r="O213" i="5" s="1"/>
  <c r="P52" i="5"/>
  <c r="P150" i="5"/>
  <c r="P155" i="5" s="1"/>
  <c r="P213" i="5" s="1"/>
  <c r="F117" i="5"/>
  <c r="E123" i="5"/>
  <c r="G123" i="5"/>
  <c r="F123" i="5"/>
  <c r="E113" i="5"/>
  <c r="G126" i="5"/>
  <c r="F126" i="5"/>
  <c r="E116" i="5"/>
  <c r="G129" i="5"/>
  <c r="F129" i="5"/>
  <c r="E115" i="5"/>
  <c r="G130" i="5"/>
  <c r="F130" i="5"/>
  <c r="G127" i="5"/>
  <c r="F127" i="5"/>
  <c r="G112" i="5"/>
  <c r="F112" i="5"/>
  <c r="G116" i="5"/>
  <c r="F116" i="5"/>
  <c r="E114" i="5"/>
  <c r="E117" i="5"/>
  <c r="G113" i="5"/>
  <c r="F113" i="5"/>
  <c r="G131" i="5"/>
  <c r="F131" i="5"/>
  <c r="E112" i="5"/>
  <c r="G128" i="5"/>
  <c r="F128" i="5"/>
  <c r="G114" i="5"/>
  <c r="F114" i="5"/>
  <c r="G115" i="5"/>
  <c r="F115" i="5"/>
  <c r="G117" i="5"/>
  <c r="F121" i="5"/>
  <c r="G120" i="5"/>
  <c r="F120" i="5"/>
  <c r="G135" i="5"/>
  <c r="F135" i="5"/>
  <c r="Q212" i="5" l="1"/>
  <c r="T148" i="5"/>
  <c r="S149" i="5"/>
  <c r="T149" i="5"/>
  <c r="F242" i="5"/>
  <c r="E241" i="5"/>
  <c r="F241" i="5" s="1"/>
  <c r="Q213" i="5"/>
  <c r="N219" i="5"/>
  <c r="N220" i="5" s="1"/>
  <c r="N221" i="5" s="1"/>
  <c r="K219" i="5"/>
  <c r="K220" i="5" s="1"/>
  <c r="K221" i="5" s="1"/>
  <c r="O219" i="5"/>
  <c r="O220" i="5" s="1"/>
  <c r="O221" i="5" s="1"/>
  <c r="L219" i="5"/>
  <c r="L220" i="5" s="1"/>
  <c r="L221" i="5" s="1"/>
  <c r="P219" i="5"/>
  <c r="P220" i="5" s="1"/>
  <c r="P221" i="5" s="1"/>
  <c r="M219" i="5"/>
  <c r="M220" i="5" s="1"/>
  <c r="M221" i="5" s="1"/>
  <c r="Q219" i="5"/>
  <c r="Q220" i="5" s="1"/>
  <c r="Q221" i="5" s="1"/>
  <c r="G122" i="5"/>
  <c r="F122" i="5"/>
  <c r="D222" i="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1DD44A-15F1-420F-B657-9F5CE455F07E}" name="Requête - Table073 (Page 91)" description="Connexion à la requête « Table073 (Page 91) » dans le classeur." type="100" refreshedVersion="8" minRefreshableVersion="5">
    <extLst>
      <ext xmlns:x15="http://schemas.microsoft.com/office/spreadsheetml/2010/11/main" uri="{DE250136-89BD-433C-8126-D09CA5730AF9}">
        <x15:connection id="6b9ec248-305f-4766-a7d9-d7a0ac10847e"/>
      </ext>
    </extLst>
  </connection>
  <connection id="2" xr16:uid="{FC080DD7-22F2-4B53-999D-6DBA0145CF34}" name="Requête - Table074 (Page 91)" description="Connexion à la requête « Table074 (Page 91) » dans le classeur." type="100" refreshedVersion="8" minRefreshableVersion="5">
    <extLst>
      <ext xmlns:x15="http://schemas.microsoft.com/office/spreadsheetml/2010/11/main" uri="{DE250136-89BD-433C-8126-D09CA5730AF9}">
        <x15:connection id="2db758c5-ff8a-4ce4-8c01-0cb86e07611f"/>
      </ext>
    </extLst>
  </connection>
  <connection id="3" xr16:uid="{B9908039-0A59-4CA7-A6A9-00E1C33FC223}" name="Requête - Table075 (Page 92)" description="Connexion à la requête « Table075 (Page 92) » dans le classeur." type="100" refreshedVersion="8" minRefreshableVersion="5">
    <extLst>
      <ext xmlns:x15="http://schemas.microsoft.com/office/spreadsheetml/2010/11/main" uri="{DE250136-89BD-433C-8126-D09CA5730AF9}">
        <x15:connection id="82b26a7b-adc0-42d8-bb42-4caf190a415f"/>
      </ext>
    </extLst>
  </connection>
  <connection id="4" xr16:uid="{C901186C-BAC6-4FEB-8C3A-4B42D4EF0386}" name="Requête - Table084 (Page 119)" description="Connexion à la requête « Table084 (Page 119) » dans le classeur." type="100" refreshedVersion="8" minRefreshableVersion="5">
    <extLst>
      <ext xmlns:x15="http://schemas.microsoft.com/office/spreadsheetml/2010/11/main" uri="{DE250136-89BD-433C-8126-D09CA5730AF9}">
        <x15:connection id="6077e7e3-0297-49f5-a722-ae8c4acd0ea1"/>
      </ext>
    </extLst>
  </connection>
  <connection id="5" xr16:uid="{D2216B6C-4B8A-4DE7-B841-22752D6706C5}" name="Requête - Table085 (Page 120)" description="Connexion à la requête « Table085 (Page 120) » dans le classeur." type="100" refreshedVersion="8" minRefreshableVersion="5">
    <extLst>
      <ext xmlns:x15="http://schemas.microsoft.com/office/spreadsheetml/2010/11/main" uri="{DE250136-89BD-433C-8126-D09CA5730AF9}">
        <x15:connection id="0a38d390-bef6-41ca-99d4-890b7bbcf532"/>
      </ext>
    </extLst>
  </connection>
  <connection id="6" xr16:uid="{0EB70D0D-EFE0-4D92-8F56-224B33D0C5E6}" name="Requête - Table086 (Page 121)" description="Connexion à la requête « Table086 (Page 121) » dans le classeur." type="100" refreshedVersion="8" minRefreshableVersion="5">
    <extLst>
      <ext xmlns:x15="http://schemas.microsoft.com/office/spreadsheetml/2010/11/main" uri="{DE250136-89BD-433C-8126-D09CA5730AF9}">
        <x15:connection id="6f1de42c-7262-4327-9ac5-709ef7f5ed77"/>
      </ext>
    </extLst>
  </connection>
  <connection id="7" xr16:uid="{6074C490-5639-4971-8B5F-E3E20EFFBDBD}" name="Requête - Table098 (Page 143)" description="Connexion à la requête « Table098 (Page 143) » dans le classeur." type="100" refreshedVersion="8" minRefreshableVersion="5">
    <extLst>
      <ext xmlns:x15="http://schemas.microsoft.com/office/spreadsheetml/2010/11/main" uri="{DE250136-89BD-433C-8126-D09CA5730AF9}">
        <x15:connection id="c3a4f28c-8803-401f-81c4-5635d177f579"/>
      </ext>
    </extLst>
  </connection>
  <connection id="8" xr16:uid="{75038333-9186-417B-AC34-C0B306E0260B}" name="Requête - Table099 (Page 144)" description="Connexion à la requête « Table099 (Page 144) » dans le classeur." type="100" refreshedVersion="8" minRefreshableVersion="5">
    <extLst>
      <ext xmlns:x15="http://schemas.microsoft.com/office/spreadsheetml/2010/11/main" uri="{DE250136-89BD-433C-8126-D09CA5730AF9}">
        <x15:connection id="08bc5c1a-4935-4f39-9a01-9ed736970879"/>
      </ext>
    </extLst>
  </connection>
  <connection id="9" xr16:uid="{7A8A1F4B-459A-4499-A8F9-545D4D8966DB}" keepAlive="1" name="Requête - Table248 (Page 276)" description="Connexion à la requête « Table248 (Page 276) » dans le classeur." type="5" refreshedVersion="0" background="1" saveData="1">
    <dbPr connection="Provider=Microsoft.Mashup.OleDb.1;Data Source=$Workbook$;Location=&quot;Table248 (Page 276)&quot;;Extended Properties=&quot;&quot;" command="SELECT * FROM [Table248 (Page 276)]"/>
  </connection>
  <connection id="10" xr16:uid="{931CDE68-C130-4F24-96B1-0DE55E0FFCAF}" keepAlive="1" name="Requête - Table248 (Page 276) (2)" description="Connexion à la requête « Table248 (Page 276) (2) » dans le classeur." type="5" refreshedVersion="8" background="1" saveData="1">
    <dbPr connection="Provider=Microsoft.Mashup.OleDb.1;Data Source=$Workbook$;Location=&quot;Table248 (Page 276) (2)&quot;;Extended Properties=&quot;&quot;" command="SELECT * FROM [Table248 (Page 276) (2)]"/>
  </connection>
  <connection id="11" xr16:uid="{A5DA92FF-0DE9-49DA-86C9-6FA710C04D6D}"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<sst xmlns="http://schemas.openxmlformats.org/spreadsheetml/2006/main" count="2901" uniqueCount="1269">
  <si>
    <t>ANNEXE EXCEL - Revue des dépenses défavorables au climat des collectivités locales, I4CE, La Banque Postale, 2025</t>
  </si>
  <si>
    <t>Contacts I4CE : aurore.colin@i4ce.org ; axel.erba@i4ce.org ; francois.thomazeau@i4ce.org</t>
  </si>
  <si>
    <t xml:space="preserve">N'hésitez pas à nous contacter ! </t>
  </si>
  <si>
    <t xml:space="preserve">Date de dernière mise à jour : </t>
  </si>
  <si>
    <t>GUIDE DE LECTURE DU DOCUMENT</t>
  </si>
  <si>
    <t>Ce tableur constitue le support présentant la méthodologie et les sources utilisées pour construire les chiffres présentés dans l'étude :</t>
  </si>
  <si>
    <t xml:space="preserve">Il est composé d'une fiche de synthèse ainsi que de fiches présentant la méthodologie employée pour la quantification des dépenses défavorables au climat des collectivités locales </t>
  </si>
  <si>
    <t>SYNTHESE</t>
  </si>
  <si>
    <t xml:space="preserve">Cette fiche permet d'obtenir rapidement les chiffres (euros constants et courants) ainsi que différents recoupements. </t>
  </si>
  <si>
    <t xml:space="preserve">LES FICHES SECTORIELLES </t>
  </si>
  <si>
    <t>CT RENO</t>
  </si>
  <si>
    <t xml:space="preserve">Historique des investissements défavorables au climat des collectivités dans la rénovation énergétique des bâtiments publics </t>
  </si>
  <si>
    <t>DEP_ENER</t>
  </si>
  <si>
    <t xml:space="preserve">Historique des achats de combustibles et carburants fossiles des collectivités </t>
  </si>
  <si>
    <t>axENER</t>
  </si>
  <si>
    <t>Analyse prix-volume des dépenses énergétique</t>
  </si>
  <si>
    <t>TER_NEUF</t>
  </si>
  <si>
    <t xml:space="preserve">Historique des investissements défavorables au climat liés à la construction de bâtiments tertiaires neufs </t>
  </si>
  <si>
    <t>VP</t>
  </si>
  <si>
    <t>Historique des investissements défavorables au climat liés à l'achat de véhicules particuliers thermiques</t>
  </si>
  <si>
    <t>VUL</t>
  </si>
  <si>
    <t>Historique des investissements défavorables au climat liés à l'achat de véhicules utilitaires légers thermiques</t>
  </si>
  <si>
    <t>BUSCAR</t>
  </si>
  <si>
    <t>Historique des investissements défavorables au climat liés à l'achat de bus et de cars thermiques</t>
  </si>
  <si>
    <t>MR_FER</t>
  </si>
  <si>
    <t>Historique des investissements défavorables au climat liés à l'achat de matériel roulan ferroviaire diesel</t>
  </si>
  <si>
    <t>ROUTES</t>
  </si>
  <si>
    <t xml:space="preserve">Historique des investissements défavorables au climat liés à la construction de nouvelles routes </t>
  </si>
  <si>
    <t>RESTAUCO</t>
  </si>
  <si>
    <t>Historique des dépenses défavorables au climat liés aux achats alimentaires</t>
  </si>
  <si>
    <t>MAT_INFO</t>
  </si>
  <si>
    <t>Historique des dépenses défavorables au climat liés aux achats de matériel informatique</t>
  </si>
  <si>
    <t>Chaque onglet sectoriel comporte :</t>
  </si>
  <si>
    <t xml:space="preserve"> - le périmètre exact des investissements couverts dans le secteur ; </t>
  </si>
  <si>
    <t xml:space="preserve"> - les étapes de calcul et les hypothèses utilisées pour arriver à la reconstruction de l'historique ;</t>
  </si>
  <si>
    <t xml:space="preserve"> - les sources utilisées (indiquées en dessous des tableaux de calculs ou à la fin des onglets) ;</t>
  </si>
  <si>
    <t xml:space="preserve"> - les tableaux de résultats.</t>
  </si>
  <si>
    <t>De nombreuses données et étapes de calculs utilisées dans cet excel sont issues des travaux réalisés dans le cadre de l'édition 2025 du Panorama des financements climat.</t>
  </si>
  <si>
    <t>LIEN VERS L'EDITION 2025 DU PANORAMA DES FINANCEMENTS CLIMAT</t>
  </si>
  <si>
    <t>L'étude et l'ensemble de ses annexes sont téléchargeables sur le site d'I4CE :</t>
  </si>
  <si>
    <t xml:space="preserve">L'identification des dépenses défavorables se base sur la méthodologie EBC, co-construite par I4CE en partenariat avec des collectivités en 2022 </t>
  </si>
  <si>
    <t xml:space="preserve">LIEN VERS LA METHODOLOGIE ECB (I4CE, 2022) </t>
  </si>
  <si>
    <t>Périmètre Pano_NAT</t>
  </si>
  <si>
    <t xml:space="preserve">Périmètre Panorama des financements climat, 2023 </t>
  </si>
  <si>
    <t xml:space="preserve">Fiches inclues dans le document </t>
  </si>
  <si>
    <t>PANO_NAT</t>
  </si>
  <si>
    <t>Bilan de l’énergie</t>
  </si>
  <si>
    <r>
      <t>Secteurs </t>
    </r>
    <r>
      <rPr>
        <sz val="11"/>
        <color rgb="FF404041"/>
        <rFont val="Arial"/>
        <family val="2"/>
      </rPr>
      <t>​</t>
    </r>
  </si>
  <si>
    <t>Investissements climat</t>
  </si>
  <si>
    <t>Investissements fossiles</t>
  </si>
  <si>
    <t>Autres investissements dont dépenses fossiles</t>
  </si>
  <si>
    <t>CT_RENO</t>
  </si>
  <si>
    <t>Réovation énergétiques : postes de consommation fossile</t>
  </si>
  <si>
    <t>de l’étude</t>
  </si>
  <si>
    <t>Construction neuve de bâtiments tertiaires</t>
  </si>
  <si>
    <t xml:space="preserve">Véhicules particuliers thermiques </t>
  </si>
  <si>
    <t>Résidentiel et tertiaire</t>
  </si>
  <si>
    <t>Construction</t>
  </si>
  <si>
    <t>Performance énergétique de la construction</t>
  </si>
  <si>
    <t>-</t>
  </si>
  <si>
    <r>
      <t xml:space="preserve">Construction hors performance énergétique
</t>
    </r>
    <r>
      <rPr>
        <b/>
        <sz val="11"/>
        <color rgb="FF404041"/>
        <rFont val="Arial"/>
        <family val="2"/>
      </rPr>
      <t>[TER_NEUF]</t>
    </r>
  </si>
  <si>
    <t xml:space="preserve">Véhicules utilitaires thermiques </t>
  </si>
  <si>
    <t xml:space="preserve">Bus et cars thermiques </t>
  </si>
  <si>
    <t>Entretien-amélioration</t>
  </si>
  <si>
    <t>Rénovation énergétique : gestes performants</t>
  </si>
  <si>
    <r>
      <t xml:space="preserve">Rénovation énergétique : chaudières gaz et fioul, gestes peu performants
</t>
    </r>
    <r>
      <rPr>
        <b/>
        <sz val="11"/>
        <color rgb="FF404041"/>
        <rFont val="Arial"/>
        <family val="2"/>
      </rPr>
      <t>[CT_RENO]</t>
    </r>
  </si>
  <si>
    <t>Autre entretien-amélioration</t>
  </si>
  <si>
    <t xml:space="preserve">Matériel roulant ferroviaire diesel </t>
  </si>
  <si>
    <t>AERO</t>
  </si>
  <si>
    <t xml:space="preserve">Investissements dans les infrastructures aéroportuaires </t>
  </si>
  <si>
    <t>Transports</t>
  </si>
  <si>
    <t>Véhicules</t>
  </si>
  <si>
    <t>Véhicules bas-carbone</t>
  </si>
  <si>
    <r>
      <t xml:space="preserve">Véhicules thermiques
</t>
    </r>
    <r>
      <rPr>
        <b/>
        <sz val="11"/>
        <color rgb="FF404041"/>
        <rFont val="Arial"/>
        <family val="2"/>
      </rPr>
      <t>[VP/VUL/BUSCAR/ MR_FER]</t>
    </r>
  </si>
  <si>
    <t xml:space="preserve">Investissements dans les infrastructures routières </t>
  </si>
  <si>
    <t>Financements liés à la restauration collective</t>
  </si>
  <si>
    <t>Infrastructures</t>
  </si>
  <si>
    <t>Infrastructures des transports bas-carbone : ferroviaire, TCU, réseau cyclable et infrastructures pour carburants alternatifs</t>
  </si>
  <si>
    <r>
      <t xml:space="preserve">Aéroports et matériel de transport aérien
</t>
    </r>
    <r>
      <rPr>
        <b/>
        <sz val="11"/>
        <color rgb="FF404041"/>
        <rFont val="Arial"/>
        <family val="2"/>
      </rPr>
      <t>[AERO]</t>
    </r>
  </si>
  <si>
    <r>
      <t xml:space="preserve">Réseau routier
</t>
    </r>
    <r>
      <rPr>
        <b/>
        <sz val="11"/>
        <color rgb="FF404041"/>
        <rFont val="Arial"/>
        <family val="2"/>
      </rPr>
      <t>[ROUTES]</t>
    </r>
  </si>
  <si>
    <t>AGRI_SUBV</t>
  </si>
  <si>
    <t>Subventions aux activités agricoles défavorables au climat</t>
  </si>
  <si>
    <t>Branche énergie</t>
  </si>
  <si>
    <t>Renouvelables</t>
  </si>
  <si>
    <t>Renouvelables électriques, renouvelables thermiques, réseaux de chaleur, bioraffineries</t>
  </si>
  <si>
    <t>Nucléaire</t>
  </si>
  <si>
    <t>EPR et Grand carénage</t>
  </si>
  <si>
    <t>Fossiles</t>
  </si>
  <si>
    <t>Capture et stockage du carbone</t>
  </si>
  <si>
    <t>Electricité fossile</t>
  </si>
  <si>
    <t>Raffineries et oléoducs</t>
  </si>
  <si>
    <t>Réseaux et flexibilité</t>
  </si>
  <si>
    <t>Flexibilité : électrolyse, méthanation et batteries statiques</t>
  </si>
  <si>
    <t>Terminaux méthaniers</t>
  </si>
  <si>
    <t>Réseaux électriques</t>
  </si>
  <si>
    <t>Réseaux gaziers</t>
  </si>
  <si>
    <t>PANO_AGRI</t>
  </si>
  <si>
    <t>Agriculture</t>
  </si>
  <si>
    <t xml:space="preserve">Subventions aux acteurs </t>
  </si>
  <si>
    <r>
      <t xml:space="preserve">Subventions défavorables
</t>
    </r>
    <r>
      <rPr>
        <b/>
        <sz val="11"/>
        <color rgb="FF404041"/>
        <rFont val="Arial"/>
        <family val="2"/>
      </rPr>
      <t>[AGRI_SUBV]</t>
    </r>
  </si>
  <si>
    <r>
      <t xml:space="preserve">Restauration collective 
</t>
    </r>
    <r>
      <rPr>
        <b/>
        <sz val="11"/>
        <color theme="1"/>
        <rFont val="Arial"/>
        <family val="2"/>
      </rPr>
      <t>[RESTAUCO]</t>
    </r>
  </si>
  <si>
    <t xml:space="preserve">Périmètre méthodologie ECB </t>
  </si>
  <si>
    <t xml:space="preserve">Périmètre ECB (I4CE, 2022) </t>
  </si>
  <si>
    <t xml:space="preserve">Compta nat </t>
  </si>
  <si>
    <t>Comptabilité budgétaire</t>
  </si>
  <si>
    <t>BAT_Neuf_artif</t>
  </si>
  <si>
    <t>Bâtiment</t>
  </si>
  <si>
    <t>Construction d'un bâtiment neuf optimisant sa performance énergie-carbone (au-delà de la norme en vigueur) et engendrant de l'artificialisation</t>
  </si>
  <si>
    <t>part à déterminer</t>
  </si>
  <si>
    <t>Défavorable</t>
  </si>
  <si>
    <r>
      <t xml:space="preserve">La RE2020 devient la norme de référence pour l'analyse dès son entrée en vigueur. 
Pour aller au-delà de la norme en vigueur, </t>
    </r>
    <r>
      <rPr>
        <b/>
        <sz val="10"/>
        <color theme="1"/>
        <rFont val="Calibri"/>
        <family val="2"/>
      </rPr>
      <t>le coût lié aux performances énergétiques ET carbone (dont matériaux bas carbone/biosourcés) est à estimer par la collectivité et est classé en "très favorable"</t>
    </r>
    <r>
      <rPr>
        <sz val="10"/>
        <color theme="1"/>
        <rFont val="Calibri"/>
        <family val="2"/>
      </rPr>
      <t xml:space="preserve">. En l’absence d’estimation sur ce coût par la collectivité, 100% de la dépense est considérée en « favorable sous conditions ».
</t>
    </r>
    <r>
      <rPr>
        <b/>
        <sz val="10"/>
        <color theme="1"/>
        <rFont val="Calibri"/>
        <family val="2"/>
      </rPr>
      <t>Le coût du terrain ne rentre pas dans le coût de la dépens</t>
    </r>
    <r>
      <rPr>
        <sz val="10"/>
        <color theme="1"/>
        <rFont val="Calibri"/>
        <family val="2"/>
      </rPr>
      <t>e (neutre, cf. étape 1 - analyse par nature).</t>
    </r>
  </si>
  <si>
    <t>Construction de bâtiments neufs NE respectant PAS les seuils de performance énergie-carbone (respect de la norme en vigueur ou/et, pour la RT2012, du niveau C1 du référentiel E+C-) 
OU engendrant de l'artificialisation</t>
  </si>
  <si>
    <t>Le coût du terrain ne rentre pas dans le coût de la dépense (neutre, cf. étape 1).</t>
  </si>
  <si>
    <t>BAT_Réno_manquée</t>
  </si>
  <si>
    <t>Rénovation</t>
  </si>
  <si>
    <t xml:space="preserve">"Occasion manquée" : Rénovation sur un poste à enjeu énergétique (toiture, murs extérieurs, fenêtres, chauffage, …) mais sans intention de geste de performance énergétique. </t>
  </si>
  <si>
    <r>
      <rPr>
        <sz val="10"/>
        <color theme="1"/>
        <rFont val="Calibri"/>
        <family val="2"/>
      </rPr>
      <t>Sauf pour les bâtiments en classe A ou B au DPE</t>
    </r>
    <r>
      <rPr>
        <i/>
        <sz val="10"/>
        <color theme="1"/>
        <rFont val="Calibri"/>
        <family val="2"/>
      </rPr>
      <t xml:space="preserve">
Exemple : rénovation d'une toiture sans isolation </t>
    </r>
  </si>
  <si>
    <t>BAT_Réno_loupée</t>
  </si>
  <si>
    <t>"Rénovation loupée" : Rénovation sur un poste à enjeu énergétique mais sans gain énergétique ou carbone</t>
  </si>
  <si>
    <t xml:space="preserve">Sauf pour les bâtiments en classe A ou B au DPE. 
Dans le cas où il est possible de mesurer les consommations/émissions du bâtiment avant/après travaux. 
</t>
  </si>
  <si>
    <t>TRA_Ferro_Fossile</t>
  </si>
  <si>
    <t>Transport</t>
  </si>
  <si>
    <t>Ferroviaire urbain et interubain - Achat</t>
  </si>
  <si>
    <t>Achat de matériel roulant à motorisation diesel ou essence</t>
  </si>
  <si>
    <t>TRA_TC_Fossile</t>
  </si>
  <si>
    <t>Transports collectifs routiers - Achat</t>
  </si>
  <si>
    <t>L'achat de transports collectifs publics à motorisation thermique (diesel ou essence ou agrocarburant)</t>
  </si>
  <si>
    <t>Le secteur des transports doit se décarboner d'après la SNBC. En cas de manque d'information.</t>
  </si>
  <si>
    <t>TRA_Marit_InfraFossile</t>
  </si>
  <si>
    <t>Maritime Infra</t>
  </si>
  <si>
    <t>Développement/Modernisation d'infrastructures de transport ou de stockage de combustibles fossiles</t>
  </si>
  <si>
    <t xml:space="preserve">En accord avec la taxonomie européenne. </t>
  </si>
  <si>
    <t>TRA_Marit_FlotteFossiles</t>
  </si>
  <si>
    <t>Maritime Achat navire</t>
  </si>
  <si>
    <t>Achat de navires à motorisation fossile</t>
  </si>
  <si>
    <t>TRA_Fluvial_InfraFossiles</t>
  </si>
  <si>
    <t>Fluvial Infra</t>
  </si>
  <si>
    <t>Développement/Modernisation d'infrastructures de transport/stockage de combustibles fossiles</t>
  </si>
  <si>
    <t>TRA_Fluvial_InfraEntretienAutres</t>
  </si>
  <si>
    <t>Autres travaux d'entretien</t>
  </si>
  <si>
    <t xml:space="preserve">Les dépenses ne permettant pas de développer le transport fluvial de marchandises et/ou de personnes. </t>
  </si>
  <si>
    <t>TRA_Fluvial_FlotteFossile</t>
  </si>
  <si>
    <t>Fluvial Achat flotte</t>
  </si>
  <si>
    <t>TRA_Aviation</t>
  </si>
  <si>
    <t>Aviation</t>
  </si>
  <si>
    <t>Développement et entretien liés à l'aviation (ex : aéroport) ou à la sécurité aérienne</t>
  </si>
  <si>
    <t>TRA_Auto</t>
  </si>
  <si>
    <t>Flotte automobile - Achat</t>
  </si>
  <si>
    <t xml:space="preserve">L'achat de véhicules de société émettant plus de 50 gCO2/km </t>
  </si>
  <si>
    <t>Limite de 50 gCO2/km utilisée par le Panorama des financements climat et l'Ademe, en lien avec la SNBC.</t>
  </si>
  <si>
    <t>TRA_PL_Fossile</t>
  </si>
  <si>
    <t>Poids lourds ou véhicules spécialisés - Achat</t>
  </si>
  <si>
    <t>Achat de poids lourds ou véhicules spécialisés (bennes, corbillards, ...) diesel ou essence</t>
  </si>
  <si>
    <t>TRA_2R_Fossile</t>
  </si>
  <si>
    <t>Deux roues - Achat</t>
  </si>
  <si>
    <t>Achat de deux roues fonctionnant aux énergies fossiles (dont gaz)</t>
  </si>
  <si>
    <t>VOIRIE_Cstrct_Voiture</t>
  </si>
  <si>
    <t>Voirie</t>
  </si>
  <si>
    <t>Construction de routes dédiée à la voiture</t>
  </si>
  <si>
    <t>VOIRIE_Requal_Voiture</t>
  </si>
  <si>
    <t>Requalification</t>
  </si>
  <si>
    <t>Requalification de la voirie : part dédiée à la voiture</t>
  </si>
  <si>
    <t>VOIRIE_Parkings</t>
  </si>
  <si>
    <t>Parkings - Construction</t>
  </si>
  <si>
    <t>Création de parkings "classiques"</t>
  </si>
  <si>
    <t>Favorise l'usage de la voiture, source d'émission</t>
  </si>
  <si>
    <t>ALIM_Repas_Bovin</t>
  </si>
  <si>
    <t>Alimentation</t>
  </si>
  <si>
    <t>Repas</t>
  </si>
  <si>
    <t>Si la collectivité souhaite aller plus loin : Les repas bovins/ovins servis par la restauration collective gérée par la collectivité au delà de 4/20 repas</t>
  </si>
  <si>
    <t>Nombre de repas bovins par semaine au-delà de 1</t>
  </si>
  <si>
    <t>i.e. sur 20 repas, on ne compte pas les 4 premiers repas, mais on compte les suivants. Recommandations du GEM-RCN
La viande bovine émet beaucoup plus que des légumes/céréales (même en ACV)</t>
  </si>
  <si>
    <t>AGRI_Explt_HVE</t>
  </si>
  <si>
    <t>Aides aux exploitations</t>
  </si>
  <si>
    <t>Aides aux exploitations labellisées à Haute valeur environnementale (HVE)</t>
  </si>
  <si>
    <t>AGRI_Explt_PAS</t>
  </si>
  <si>
    <t>Aides "classiques" aux exploitations (sans spécificités sur les pratiques de transition agro-écologiques)</t>
  </si>
  <si>
    <r>
      <t xml:space="preserve">le </t>
    </r>
    <r>
      <rPr>
        <i/>
        <sz val="10"/>
        <color theme="1"/>
        <rFont val="Calibri"/>
        <family val="2"/>
      </rPr>
      <t>statu quo</t>
    </r>
    <r>
      <rPr>
        <sz val="10"/>
        <color theme="1"/>
        <rFont val="Calibri"/>
        <family val="2"/>
      </rPr>
      <t xml:space="preserve"> est considéré comme défavorable</t>
    </r>
  </si>
  <si>
    <t>AGRI_Orga_HVE</t>
  </si>
  <si>
    <t>Aides aux organismes</t>
  </si>
  <si>
    <t>Aides aux organismes en faveur du label à Haute valeur environnementale (HVE)</t>
  </si>
  <si>
    <t>AGRI_Orga_statuquo</t>
  </si>
  <si>
    <t>Aides "classiques" aux organismes (sans soutien spécifique à la mise en place de pratiques de transition agro-écologiques)</t>
  </si>
  <si>
    <t>au prorata du CA consacré par l'organisme</t>
  </si>
  <si>
    <t>AGRI_Explt_EEserres</t>
  </si>
  <si>
    <t>Efficacité énergétique</t>
  </si>
  <si>
    <t>Aides pour des actions d'efficacité énergétique sur des serres chauffées</t>
  </si>
  <si>
    <t>AGRI_Explt_EEélevage</t>
  </si>
  <si>
    <t>Aides pour des actions d'efficacité énergétique sur des bâtiments d'élevage</t>
  </si>
  <si>
    <t>AGRI_Explt_Modern</t>
  </si>
  <si>
    <t xml:space="preserve">Modernisation </t>
  </si>
  <si>
    <t xml:space="preserve">Aides pour la construction / modernisation de bâtiments agricoles dans des exploitations SANS pratiques de transition agro-écologique identifiées </t>
  </si>
  <si>
    <r>
      <t xml:space="preserve">Le </t>
    </r>
    <r>
      <rPr>
        <i/>
        <sz val="10"/>
        <color theme="1"/>
        <rFont val="Calibri"/>
        <family val="2"/>
      </rPr>
      <t xml:space="preserve">statu quo </t>
    </r>
    <r>
      <rPr>
        <sz val="10"/>
        <color theme="1"/>
        <rFont val="Calibri"/>
        <family val="2"/>
      </rPr>
      <t>est considéré comme défavorable</t>
    </r>
  </si>
  <si>
    <t>AGRI_Explt_ModernSerres</t>
  </si>
  <si>
    <t xml:space="preserve">Aides pour la construction / modernisation de serres chauffées </t>
  </si>
  <si>
    <t>Les serres chauffées doivent décroître d'après les scénarios</t>
  </si>
  <si>
    <t>AGRI_EnR_PVToit-</t>
  </si>
  <si>
    <t>Energies renouvelables - Solaire</t>
  </si>
  <si>
    <t>Aides pour le développement et/ou l'entretien de panneaux solaires sur toiture de bâtiment d'élevage</t>
  </si>
  <si>
    <t>le statu quo est considéré comme défavorable</t>
  </si>
  <si>
    <t>AGRI_Ccourts_statuquo</t>
  </si>
  <si>
    <t xml:space="preserve">Circuits courts </t>
  </si>
  <si>
    <t>Aides pour le développement des circuits courts alimentaires et agricoles de proximité pour une exploitation (SANS pratiques de transition agro-écologique)</t>
  </si>
  <si>
    <t>ECO_Act_Défav</t>
  </si>
  <si>
    <t>Action économique</t>
  </si>
  <si>
    <t>Soutien</t>
  </si>
  <si>
    <t>Aide pour une activité "défavorable" identifié par les critères de classement du guide atténuation</t>
  </si>
  <si>
    <t>au prorata du CA de l'entreprise</t>
  </si>
  <si>
    <t xml:space="preserve">Ex : entreprise de fabrication de pièces d'avion </t>
  </si>
  <si>
    <t>ECO_Act_IndicDéfav</t>
  </si>
  <si>
    <t>Soutien avec indicateurs climat</t>
  </si>
  <si>
    <t>Aide pour une activité non classée par la taxonomie européenne ou le guide atténuation,  si la collectivité a mis en place des indicateurs climat dont les réponses NE sont PAS favorables au climat</t>
  </si>
  <si>
    <t>FORMATION_Act_IndicDéfav</t>
  </si>
  <si>
    <t>Formation professionnelle</t>
  </si>
  <si>
    <t xml:space="preserve">Formation professionnelle </t>
  </si>
  <si>
    <t>Aide pour une formation non spécifique ou dont l'activité est "à approfondir", si la collectivité a mis en place des indicateurs climat dans les cahiers des charges des marchés de formation et dont les réponses NE sont PAS favorables au climat</t>
  </si>
  <si>
    <t>DECHETS_Incinération</t>
  </si>
  <si>
    <t>Déchets</t>
  </si>
  <si>
    <t>Mode de traitement des déchets</t>
  </si>
  <si>
    <t>Incinération</t>
  </si>
  <si>
    <t>DECHETS_Enfouissement</t>
  </si>
  <si>
    <t>Enfouissement</t>
  </si>
  <si>
    <t>DECHETS_Collecte_Carbu</t>
  </si>
  <si>
    <t>Collecte</t>
  </si>
  <si>
    <t>Carburant lié à la collecte des déchets</t>
  </si>
  <si>
    <t>Données à faire remonter si possible</t>
  </si>
  <si>
    <t>ENE_Gaz</t>
  </si>
  <si>
    <t>Energie</t>
  </si>
  <si>
    <t>Gaz</t>
  </si>
  <si>
    <t>Les factures de gaz pour la collectivité : gaz naturel (hors carburant)</t>
  </si>
  <si>
    <t>Si mélange de gaz renouvelable et gaz fossile, faire au prorata</t>
  </si>
  <si>
    <t>ENE_Carbu_Fossiles</t>
  </si>
  <si>
    <t>Carburant</t>
  </si>
  <si>
    <t>Achat de carburants fossiles (essence, diesel, GPL, GTL, GNV non renouvelable)</t>
  </si>
  <si>
    <t>ENE_Carbu_GNV</t>
  </si>
  <si>
    <t>Achat de GNV</t>
  </si>
  <si>
    <t>Le gaz est aujourd'hui une énergie carbonée</t>
  </si>
  <si>
    <t>ENE_Carbu_H2</t>
  </si>
  <si>
    <t>Achat d'hydrogène fossile</t>
  </si>
  <si>
    <t>Si mélange de H2 renouvelable et fossile, faire au prorata</t>
  </si>
  <si>
    <t>ENE_Infra_Fossile</t>
  </si>
  <si>
    <t>Infrastructures de production</t>
  </si>
  <si>
    <t>Développement ou entretien d'infrastructures de production d'énergie fossile (hors gaz)</t>
  </si>
  <si>
    <t>RH_indemnités_voiture</t>
  </si>
  <si>
    <t>Ressources humaines</t>
  </si>
  <si>
    <t>Dépenses de personnel</t>
  </si>
  <si>
    <t>Indemnités kilométriques voiture personnelle</t>
  </si>
  <si>
    <t>RH_déplacement_Fossile</t>
  </si>
  <si>
    <t>Frais de déplacement</t>
  </si>
  <si>
    <t xml:space="preserve">Déplacement en voiture fossile (sauf GNV) et avion </t>
  </si>
  <si>
    <t>Taxe_nonclimat</t>
  </si>
  <si>
    <t>Taxes</t>
  </si>
  <si>
    <t>Paiement de taxes</t>
  </si>
  <si>
    <t>Paiement de taxes environnementales liées au climat (incitatives)</t>
  </si>
  <si>
    <r>
      <t xml:space="preserve">Le paiement de ces taxes revient à un "droit à polluer" 
</t>
    </r>
    <r>
      <rPr>
        <i/>
        <sz val="10"/>
        <color theme="1"/>
        <rFont val="Calibri"/>
        <family val="2"/>
      </rPr>
      <t xml:space="preserve">Ex : Taxe à l'essieu, taxe d'immatriculation … </t>
    </r>
  </si>
  <si>
    <t>NTIC_Achat_critères</t>
  </si>
  <si>
    <t>NTIC</t>
  </si>
  <si>
    <t xml:space="preserve">Achat </t>
  </si>
  <si>
    <t>Acquisition de matériels informatiques sans respect des critères méthodologiques</t>
  </si>
  <si>
    <t>Le matériel informatique est fortement émetteur, notamment lors de sa production.</t>
  </si>
  <si>
    <t>Synthèse et graphs</t>
  </si>
  <si>
    <t xml:space="preserve">Dépenses brunes </t>
  </si>
  <si>
    <t>2011-2023</t>
  </si>
  <si>
    <t>2017-2023</t>
  </si>
  <si>
    <t>inv</t>
  </si>
  <si>
    <t>Rénovation des bâtiments tertiaires</t>
  </si>
  <si>
    <t>en m€</t>
  </si>
  <si>
    <t xml:space="preserve">Dépenses bâtimentaires - Construction tertiaire neuve </t>
  </si>
  <si>
    <t>"</t>
  </si>
  <si>
    <t>fonct</t>
  </si>
  <si>
    <t xml:space="preserve">Dépenses énergétiques </t>
  </si>
  <si>
    <t xml:space="preserve">Véhicules particuliers </t>
  </si>
  <si>
    <t xml:space="preserve">Véhicules utilitaires légers </t>
  </si>
  <si>
    <t xml:space="preserve">Bus &amp; Cars </t>
  </si>
  <si>
    <t>Subventions aux aéroports régionaux</t>
  </si>
  <si>
    <t>Construction de nouvelles routes</t>
  </si>
  <si>
    <t>Matériel roulant ferroviaire</t>
  </si>
  <si>
    <t>TOTAL</t>
  </si>
  <si>
    <t xml:space="preserve">hors routes </t>
  </si>
  <si>
    <t>hors TER_NEUF</t>
  </si>
  <si>
    <t>hors routes et TER_NEUF</t>
  </si>
  <si>
    <t>hors  DEP_ENER</t>
  </si>
  <si>
    <t>hors routes et DEP_ENER</t>
  </si>
  <si>
    <t xml:space="preserve">Hors routes TER_NEUF et DEP_ENER </t>
  </si>
  <si>
    <t>Horrs MR_FER</t>
  </si>
  <si>
    <t>Dépenses patrimoniales</t>
  </si>
  <si>
    <t>Dépenses aménagement du territoire</t>
  </si>
  <si>
    <t>Dépenses totales considérées</t>
  </si>
  <si>
    <t xml:space="preserve">Tendances annuelles agrégées </t>
  </si>
  <si>
    <t xml:space="preserve">Evolution annuelle des dépenses brunes </t>
  </si>
  <si>
    <t xml:space="preserve">en% </t>
  </si>
  <si>
    <t>Evolution annuelle des dépenses totales</t>
  </si>
  <si>
    <t xml:space="preserve">Poids des dépenses brunes sur les dépenses totales </t>
  </si>
  <si>
    <t xml:space="preserve">Hors routes,TER_NEUF et DEP_ENER </t>
  </si>
  <si>
    <t>Hors MR_FER</t>
  </si>
  <si>
    <t xml:space="preserve">Ecart dépenses brunes et dépenses totales </t>
  </si>
  <si>
    <t xml:space="preserve"> en M€</t>
  </si>
  <si>
    <t xml:space="preserve">Part des dépenses brunes dans les dépenses totales </t>
  </si>
  <si>
    <t>en %</t>
  </si>
  <si>
    <t>Tendances annuelles par poste</t>
  </si>
  <si>
    <t>DB - Rénovation des bâtiments tertiaires</t>
  </si>
  <si>
    <t xml:space="preserve">DB - Dépenses bâtimentaires - Construction tertiaire neuve </t>
  </si>
  <si>
    <t xml:space="preserve">DB - Dépenses énergétiques </t>
  </si>
  <si>
    <t xml:space="preserve">DB - Véhicules particuliers </t>
  </si>
  <si>
    <t xml:space="preserve">DB - Véhicules utilitaires légers </t>
  </si>
  <si>
    <t xml:space="preserve">DB - Bus &amp; Cars </t>
  </si>
  <si>
    <t>DB - Subventions aux aéroports régionaux</t>
  </si>
  <si>
    <t>DB - Construction de nouvelles routes</t>
  </si>
  <si>
    <t>DB - Matériel roulant ferroviaire</t>
  </si>
  <si>
    <t>DT - Rénovation des bâtiments tertiaires</t>
  </si>
  <si>
    <t xml:space="preserve">DT - Dépenses bâtimentaires - Construction tertiaire neuve </t>
  </si>
  <si>
    <t xml:space="preserve">DT -Dépenses énergétiques </t>
  </si>
  <si>
    <t xml:space="preserve">DT -Véhicules particuliers </t>
  </si>
  <si>
    <t xml:space="preserve">DT - Véhicules utilitaires légers </t>
  </si>
  <si>
    <t xml:space="preserve">DT - Bus &amp; Cars </t>
  </si>
  <si>
    <t>DT -Subventions aux aéroports régionaux</t>
  </si>
  <si>
    <t>DT - Construction de nouvelles routes</t>
  </si>
  <si>
    <t>DT - Matériel roulant ferroviaire</t>
  </si>
  <si>
    <t xml:space="preserve">Synthèse DB sur une année </t>
  </si>
  <si>
    <t>Postes de dépenses étudiés</t>
  </si>
  <si>
    <t>Total</t>
  </si>
  <si>
    <t>Défavorable (M€)</t>
  </si>
  <si>
    <t>Année</t>
  </si>
  <si>
    <t xml:space="preserve">Restauration collective </t>
  </si>
  <si>
    <t>Matériel informatique</t>
  </si>
  <si>
    <t>NA</t>
  </si>
  <si>
    <t xml:space="preserve">dont déenses d'investissement </t>
  </si>
  <si>
    <t xml:space="preserve">dont dépenses de fonctionnement </t>
  </si>
  <si>
    <t>Tendances périodes</t>
  </si>
  <si>
    <t>2011-2017</t>
  </si>
  <si>
    <t xml:space="preserve">Evolution des dépenses brunes </t>
  </si>
  <si>
    <t xml:space="preserve">en % </t>
  </si>
  <si>
    <t xml:space="preserve">Evolution de l'ensemble des dépenses </t>
  </si>
  <si>
    <t>Moyenne annuelle des dépenses brunes</t>
  </si>
  <si>
    <t>en M€</t>
  </si>
  <si>
    <t xml:space="preserve">Moyenne annuelle de l'ensemble des dépenses </t>
  </si>
  <si>
    <t>Evolution moyenne annuelle des dépenses brunes</t>
  </si>
  <si>
    <t>en%</t>
  </si>
  <si>
    <t xml:space="preserve">Evolution moyenne annuelle de l'ensemble des dépenses </t>
  </si>
  <si>
    <t>Tendances mandats</t>
  </si>
  <si>
    <t>2011-2014</t>
  </si>
  <si>
    <t>2014-2019</t>
  </si>
  <si>
    <t>2019-2023</t>
  </si>
  <si>
    <t>Evolution des dépenses brunes</t>
  </si>
  <si>
    <t>Indice du prix du produit intérieur brut (PIB) et ses composantes en France d'après les comptes de la nation</t>
  </si>
  <si>
    <t xml:space="preserve"> Administrations publiques</t>
  </si>
  <si>
    <t>Evolution annuelle</t>
  </si>
  <si>
    <t>Evolution annuelle des dépenses brunes</t>
  </si>
  <si>
    <t>Dépenses brunes en euros constants 2023</t>
  </si>
  <si>
    <t xml:space="preserve">TOTAL dépenses brunes (€ courants) </t>
  </si>
  <si>
    <t xml:space="preserve">TOTAL dépenses brunes (€ courants) - hors dépense énergétiques </t>
  </si>
  <si>
    <t>TOTAL dépenses brunes (€ constants 2023)</t>
  </si>
  <si>
    <t xml:space="preserve">TOTAL dépenses brunes (€ constants 2023) - hors dépense énergétiques </t>
  </si>
  <si>
    <t>Dépenses patrimoniales (€ constants 2023)</t>
  </si>
  <si>
    <t>Dépenses aménagement du territoire (€ constants 2023)</t>
  </si>
  <si>
    <t>Dépenses énergétiques (€ constants 2023)</t>
  </si>
  <si>
    <t>Achats de chaudières fossiles</t>
  </si>
  <si>
    <t>Dépenses totales en euros constants 2023</t>
  </si>
  <si>
    <t xml:space="preserve">TOTAL dépenses totales (€ courants) </t>
  </si>
  <si>
    <t xml:space="preserve">TOTAL dépenses totales (€ courants) - hors dépense énergétiques </t>
  </si>
  <si>
    <t>TOTAL dépenses totales (€ constants 2023)</t>
  </si>
  <si>
    <t xml:space="preserve">TOTAL dépenses totales (€ constants 2023) - hors dépense énergétiques </t>
  </si>
  <si>
    <t xml:space="preserve">Matériel informatique </t>
  </si>
  <si>
    <t>Achats alimentaires</t>
  </si>
  <si>
    <t>Intégration des investissements verts</t>
  </si>
  <si>
    <t>Dépenses des collectivités en faveur du climat</t>
  </si>
  <si>
    <t>(milliards d'euros courants)</t>
  </si>
  <si>
    <t>Rénovation énergétique des bâtiments publics</t>
  </si>
  <si>
    <t>Rénovation énergétique des logements sociaux</t>
  </si>
  <si>
    <t>Aménagements cyclables</t>
  </si>
  <si>
    <t>Verdissement des véhicules</t>
  </si>
  <si>
    <t>Infrastructures de recharge</t>
  </si>
  <si>
    <t>Transports en commun urbains*</t>
  </si>
  <si>
    <t xml:space="preserve"> </t>
  </si>
  <si>
    <t>Transport ferroviaire</t>
  </si>
  <si>
    <t>Transport fluvial</t>
  </si>
  <si>
    <t>Efficacité énergétique de l'éclairage public et réseaux de chaleur (régie)</t>
  </si>
  <si>
    <t>Total € constants</t>
  </si>
  <si>
    <t>Dépenses d'équipement LPFP courants</t>
  </si>
  <si>
    <t>en €</t>
  </si>
  <si>
    <t>Dépenses d'équipement LPFP constants 2023</t>
  </si>
  <si>
    <t>Part des dépenses dans les dépenses d'équipement (€ constants 2023)</t>
  </si>
  <si>
    <t xml:space="preserve">hors dépenses énergétiques </t>
  </si>
  <si>
    <t>Dépense vertes</t>
  </si>
  <si>
    <t>Dépenses totales - hors dépenses énergétiques</t>
  </si>
  <si>
    <t xml:space="preserve">Contrefactuel </t>
  </si>
  <si>
    <t xml:space="preserve">CF Part des dépenses brunes - hors énergie </t>
  </si>
  <si>
    <t xml:space="preserve">Montant CF (euros constants) </t>
  </si>
  <si>
    <t xml:space="preserve">Delta </t>
  </si>
  <si>
    <t xml:space="preserve">Somme Delta </t>
  </si>
  <si>
    <t>Comptes CL y compris BA et syndicats, France entière</t>
  </si>
  <si>
    <t>Dépenses de fonctionnement</t>
  </si>
  <si>
    <t>Dépenses d'investissement hors dette</t>
  </si>
  <si>
    <t>Synthèse en M€</t>
  </si>
  <si>
    <t xml:space="preserve">Dépenses d'investissement des collectivités </t>
  </si>
  <si>
    <t>Dépenses d'investissement non analysées</t>
  </si>
  <si>
    <t xml:space="preserve">Dépenses d'investissement considérées </t>
  </si>
  <si>
    <t>Dépenses d'investissement analysées non brunes</t>
  </si>
  <si>
    <t xml:space="preserve">Dépenses d'investissement analysées et brunes </t>
  </si>
  <si>
    <t xml:space="preserve">Dépenses de fonctionnement des collectivités </t>
  </si>
  <si>
    <t>Dépenses de fonctionnement considérées</t>
  </si>
  <si>
    <t xml:space="preserve">Dépenses de fonctionnement non analysées </t>
  </si>
  <si>
    <t xml:space="preserve">Dépenses de fonctionnement analysées non brunes </t>
  </si>
  <si>
    <t>Dépenses de fonctionnement analysées et  brunes</t>
  </si>
  <si>
    <r>
      <rPr>
        <b/>
        <sz val="10"/>
        <rFont val="Arial"/>
        <charset val="1"/>
      </rPr>
      <t>Population au 1</t>
    </r>
    <r>
      <rPr>
        <b/>
        <vertAlign val="superscript"/>
        <sz val="10"/>
        <rFont val="Arial"/>
        <charset val="1"/>
      </rPr>
      <t>er</t>
    </r>
    <r>
      <rPr>
        <b/>
        <sz val="10"/>
        <rFont val="Arial"/>
        <charset val="1"/>
      </rPr>
      <t xml:space="preserve"> janvier</t>
    </r>
  </si>
  <si>
    <t>en milliers</t>
  </si>
  <si>
    <r>
      <rPr>
        <b/>
        <sz val="10"/>
        <rFont val="Arial"/>
        <family val="2"/>
        <charset val="1"/>
      </rPr>
      <t>France</t>
    </r>
    <r>
      <rPr>
        <b/>
        <vertAlign val="superscript"/>
        <sz val="10"/>
        <rFont val="Arial"/>
        <family val="2"/>
        <charset val="1"/>
      </rPr>
      <t>1</t>
    </r>
  </si>
  <si>
    <t>France métropolitaine</t>
  </si>
  <si>
    <t>p : données provisoires arrêtées à fin 2024.</t>
  </si>
  <si>
    <t>1. France hors Mayotte jusqu'en 2013 et y compris Mayotte à partir de 2014.</t>
  </si>
  <si>
    <r>
      <rPr>
        <sz val="8"/>
        <rFont val="Arial"/>
        <charset val="1"/>
      </rPr>
      <t>Lecture : au 1</t>
    </r>
    <r>
      <rPr>
        <vertAlign val="superscript"/>
        <sz val="8"/>
        <rFont val="Arial"/>
        <charset val="1"/>
      </rPr>
      <t>er</t>
    </r>
    <r>
      <rPr>
        <sz val="8"/>
        <rFont val="Arial"/>
        <charset val="1"/>
      </rPr>
      <t xml:space="preserve"> janvier 2025, la France compte 68 606 000 habitants.</t>
    </r>
  </si>
  <si>
    <t>Champ : France.</t>
  </si>
  <si>
    <t>Source : Insee, recensements et estimations de population.</t>
  </si>
  <si>
    <t>Source</t>
  </si>
  <si>
    <t>Date export</t>
  </si>
  <si>
    <t>Rénovation énergétique des bâtiments publics des collectivités locales</t>
  </si>
  <si>
    <t>Périmètre général</t>
  </si>
  <si>
    <t xml:space="preserve">Cette fiche renseigne les dépenses des collectivités dans des équipements fossiles lors d'opérations de rénovations de bâtiments tertiaires. </t>
  </si>
  <si>
    <t xml:space="preserve">Prise en compte par la méthodologie budget vert (I4CE, 2022) </t>
  </si>
  <si>
    <t xml:space="preserve">En réalité, l'ensemble des dépenses dans des équipements fossiles ne sont pas considrées comme fossiles. Par exemple, il est possible de remplacer un équipement fossile par un autre plus performant, ce qui classerait la dépense en neutre selon la méthodologie I4CE. </t>
  </si>
  <si>
    <t xml:space="preserve">Par ailleurs, la classification du Pano met certaines chaudières gaz en climat, lorsqu'elles sont performantes. </t>
  </si>
  <si>
    <t>Dépense défavorable</t>
  </si>
  <si>
    <t>Méthodologie</t>
  </si>
  <si>
    <t xml:space="preserve">Nous recensons l'ensemble dépenses d'équipement de rénovation, en nombre d'équipements et appliquons des coûts unitaires, ainsi qu'une trajectoire d'évolution des prix. </t>
  </si>
  <si>
    <t>BAT_2025_€TER_RENO_1248</t>
  </si>
  <si>
    <t xml:space="preserve">Nous estimons l'évolution du parc tertiaire par type de propriétaire. </t>
  </si>
  <si>
    <t>Nous faisons l'hypothèse forte que les investissements dans les équipements se répartissent entre acteurs dans la même proportion que la décomposition du parc existant.</t>
  </si>
  <si>
    <t xml:space="preserve">Tableurs </t>
  </si>
  <si>
    <t>BAT_2025_€TER_RENO_1342</t>
  </si>
  <si>
    <t xml:space="preserve">Tableau de consolidation simplifiée - évolution du parc de bâtiments tertiaire par propriétaire </t>
  </si>
  <si>
    <t>HISTO</t>
  </si>
  <si>
    <t>(unités)</t>
  </si>
  <si>
    <t>(détail)</t>
  </si>
  <si>
    <t>En surface</t>
  </si>
  <si>
    <t>Etat</t>
  </si>
  <si>
    <t>(millions de m²)</t>
  </si>
  <si>
    <t>Collectivités territoriales</t>
  </si>
  <si>
    <t>A</t>
  </si>
  <si>
    <t>Entreprises</t>
  </si>
  <si>
    <t>B</t>
  </si>
  <si>
    <t>En proportion</t>
  </si>
  <si>
    <t>BAT_2025_€TER_RENO_1430</t>
  </si>
  <si>
    <t xml:space="preserve">Equipements installés </t>
  </si>
  <si>
    <t>Isolation thermique</t>
  </si>
  <si>
    <t>(mio EUR)</t>
  </si>
  <si>
    <t>CLIMAT</t>
  </si>
  <si>
    <t>Fenêtres</t>
  </si>
  <si>
    <t>Chaudière fioul condensation &gt; 70 kW</t>
  </si>
  <si>
    <t>FOSSILE</t>
  </si>
  <si>
    <t>Chaudière gaz condensation &gt; 70 kW</t>
  </si>
  <si>
    <t>Chaudière standard et BT fioul &gt; 70 kW</t>
  </si>
  <si>
    <t>Chaudière standard et BT gaz &gt; 70 kW</t>
  </si>
  <si>
    <t>Chaudière fioul condensation &lt; 70 kW</t>
  </si>
  <si>
    <t>Chaudière gaz condensation &lt; 70 kW</t>
  </si>
  <si>
    <t>Chaudière standard fioul &lt; 70 kW</t>
  </si>
  <si>
    <t>Chaudière standard gaz &lt; 70 kW</t>
  </si>
  <si>
    <t>Chaudières biomasse</t>
  </si>
  <si>
    <t>PAC air-eau et géothemie</t>
  </si>
  <si>
    <t>Système clim. DRV, Clim. multisplit, Roof top</t>
  </si>
  <si>
    <t>export synthèse DT</t>
  </si>
  <si>
    <t>BAT_2025_€TER_RENO_1481</t>
  </si>
  <si>
    <t xml:space="preserve">Synthèse CT </t>
  </si>
  <si>
    <t>export synthèse DB</t>
  </si>
  <si>
    <t xml:space="preserve">Part de fossile </t>
  </si>
  <si>
    <t>%</t>
  </si>
  <si>
    <t>BAT_2024_€TER_RENO_930</t>
  </si>
  <si>
    <t>Prix des équipements installés</t>
  </si>
  <si>
    <t>(catégorie)</t>
  </si>
  <si>
    <t>(euros par m²)</t>
  </si>
  <si>
    <t>(euros par unité)</t>
  </si>
  <si>
    <t>Dépenses énergétiques des collectivités locales</t>
  </si>
  <si>
    <t>Cette fiche renseigne les dépenses énergétique des collectivités</t>
  </si>
  <si>
    <t xml:space="preserve">Les dépenses énergétiques concernent donc l'achat de gaz fossile et de carburants fossiles (essence, diesel, GPL, GTL, GNV non renouvelable). </t>
  </si>
  <si>
    <t xml:space="preserve">L'achat d'hydrogène fossile est aussi inclus. </t>
  </si>
  <si>
    <t>Dépenses défavorables</t>
  </si>
  <si>
    <t>Charges à caratère général (PMT)</t>
  </si>
  <si>
    <t>Communes</t>
  </si>
  <si>
    <t>Charges à caratère général</t>
  </si>
  <si>
    <t>dont dépenses d'énergie</t>
  </si>
  <si>
    <t>éclairage</t>
  </si>
  <si>
    <t>bâtiment</t>
  </si>
  <si>
    <t>autres</t>
  </si>
  <si>
    <t>dont carburant</t>
  </si>
  <si>
    <t>dont autres</t>
  </si>
  <si>
    <t>GFP</t>
  </si>
  <si>
    <t>GSFP</t>
  </si>
  <si>
    <t>Départements</t>
  </si>
  <si>
    <t>Régions</t>
  </si>
  <si>
    <t>TOTAL dépense énergétiques</t>
  </si>
  <si>
    <t>Sources :</t>
  </si>
  <si>
    <t>dépenses d'énergie : combustible, energie électricité, chauffage urbain</t>
  </si>
  <si>
    <t>éclairage : avec fonctionnelle et corrigé des communes -3500 hab (22% des dép. énergie)</t>
  </si>
  <si>
    <t>bâtiment : (74 %) d'après répartition des dep énergie en fonctionnelle</t>
  </si>
  <si>
    <t xml:space="preserve">Euros courants </t>
  </si>
  <si>
    <t xml:space="preserve">Hors OM </t>
  </si>
  <si>
    <t xml:space="preserve">Estimation des dépenses brunes </t>
  </si>
  <si>
    <t xml:space="preserve">Pour déterminer la part des dépenses brunes il faut estimer et isoler, pour chaque type d'énergie, la part provenant de sources fossiles. </t>
  </si>
  <si>
    <t xml:space="preserve">Pour le chauffage urbain </t>
  </si>
  <si>
    <t>FEDENE, 2024</t>
  </si>
  <si>
    <t>Nonobstant la stabilité du taux EnR&amp;R à 66,5 %, la part de livraisons des réseaux de chaleur vertueux (dont le taux d’énergies renouvelable et de récupération est supérieur à 50%) poursuit son évolution passant de 89% en 2022 à 93 % en 2023.</t>
  </si>
  <si>
    <t>Les réseaux de chaleur et froid en 2023 | Données et études statistiques</t>
  </si>
  <si>
    <t>Consommation d'énergie pour production de chaleur dans les réseaux de chaleur (TWh)</t>
  </si>
  <si>
    <t>Gaz naturel</t>
  </si>
  <si>
    <t>Charbon</t>
  </si>
  <si>
    <t>Chaudières éléctriques</t>
  </si>
  <si>
    <t>Fioul et GPL</t>
  </si>
  <si>
    <t>Pompes à chaleur non renouvelable</t>
  </si>
  <si>
    <t>Autres énergies non renouvelables</t>
  </si>
  <si>
    <t>Énergies de récupération</t>
  </si>
  <si>
    <t>Énergies renouvelables</t>
  </si>
  <si>
    <t>Consommation totale</t>
  </si>
  <si>
    <t>Chaleur commercialisée (nette des pertes)</t>
  </si>
  <si>
    <t>Consommation d'énergie pour production de chaleur dans les réseaux de chaleur - % d'ENR</t>
  </si>
  <si>
    <t>Energie de récupération</t>
  </si>
  <si>
    <t xml:space="preserve">TOTAL </t>
  </si>
  <si>
    <t xml:space="preserve">Pour l'électricité </t>
  </si>
  <si>
    <t xml:space="preserve">Il est possible d'utiliser comme proxy la production d'électricité en France. </t>
  </si>
  <si>
    <t xml:space="preserve">Pour la consommation, il est plus difficile car nous importons aussi de l'énergie. </t>
  </si>
  <si>
    <t>Production d'électricité en France - Accès aux données | RTE</t>
  </si>
  <si>
    <t>Année 2024</t>
  </si>
  <si>
    <t>Année 2023</t>
  </si>
  <si>
    <t>Twh</t>
  </si>
  <si>
    <t>Hydraulique</t>
  </si>
  <si>
    <t>Eolien</t>
  </si>
  <si>
    <t>Solaire</t>
  </si>
  <si>
    <t>Thermique renouvelable et déchets</t>
  </si>
  <si>
    <t>Thermique fossile</t>
  </si>
  <si>
    <t>Production électrique par filière en France depuis 1995 (en %)</t>
  </si>
  <si>
    <t>Filière</t>
  </si>
  <si>
    <t xml:space="preserve">Nous pouvons donc estimer que 7% des dépenses énergétiques des collectivités en électricités étaient fossiles en 2023. </t>
  </si>
  <si>
    <t xml:space="preserve">Nous considérons que l'ensemble des dépenses pour l'éclairage public sont des dépenses d'électricité. </t>
  </si>
  <si>
    <t>TOTAL BRUN</t>
  </si>
  <si>
    <t>Pour le gaz</t>
  </si>
  <si>
    <t xml:space="preserve">Production de gaz en France </t>
  </si>
  <si>
    <t>chiffres_cles_energie2024_donnees_figure_novembre2024.xlsx</t>
  </si>
  <si>
    <t>Gaz naturel et gaz de mine</t>
  </si>
  <si>
    <t>Biométhane</t>
  </si>
  <si>
    <t xml:space="preserve">Consommation totale de gaz naturel </t>
  </si>
  <si>
    <t xml:space="preserve">Part de gaz fossile </t>
  </si>
  <si>
    <t>Dépenses énergétiques des collectivités locales - La librairie ADEME</t>
  </si>
  <si>
    <t>Consommation des communes par usage en 2017 (ADEME)</t>
  </si>
  <si>
    <t>Usage</t>
  </si>
  <si>
    <t>Part des Twh</t>
  </si>
  <si>
    <t>Eclairage public</t>
  </si>
  <si>
    <t>Eau, Déchets</t>
  </si>
  <si>
    <t xml:space="preserve">Répartition de la consommation selon le type d'énergie dans les communes de plus de 500 habitants </t>
  </si>
  <si>
    <t>% consommations</t>
  </si>
  <si>
    <t>% dépenses</t>
  </si>
  <si>
    <t xml:space="preserve">Electricité </t>
  </si>
  <si>
    <t xml:space="preserve">Gaz </t>
  </si>
  <si>
    <t>Carburants</t>
  </si>
  <si>
    <t>Fuel domestique</t>
  </si>
  <si>
    <t>Réseau de chaleur</t>
  </si>
  <si>
    <t>Bois</t>
  </si>
  <si>
    <t xml:space="preserve">Répartition de la consommation par batiment pour les communes de +500hab  </t>
  </si>
  <si>
    <t xml:space="preserve">Ecoles </t>
  </si>
  <si>
    <t>Piscine</t>
  </si>
  <si>
    <t>Sport</t>
  </si>
  <si>
    <t>Administrations</t>
  </si>
  <si>
    <t>Socio</t>
  </si>
  <si>
    <t>Autres</t>
  </si>
  <si>
    <t xml:space="preserve">Répartition de la dépense par source d'énerge pour les bâtiments dans les communes de plus de 500 habitants </t>
  </si>
  <si>
    <t>Nous considérons que</t>
  </si>
  <si>
    <t>% Brun</t>
  </si>
  <si>
    <t>Elec</t>
  </si>
  <si>
    <t>Fioul domestique</t>
  </si>
  <si>
    <t>Fioul</t>
  </si>
  <si>
    <t>RDC</t>
  </si>
  <si>
    <t>Autre non-Enr</t>
  </si>
  <si>
    <t xml:space="preserve">A partir de cette répartition, nous établissons la part des dépenses énergétiques des bâtiments liées à des sources fossiles. </t>
  </si>
  <si>
    <t>%russe2022</t>
  </si>
  <si>
    <t>%russe2023</t>
  </si>
  <si>
    <t>Autre</t>
  </si>
  <si>
    <t>TOTAL hors électricité</t>
  </si>
  <si>
    <t xml:space="preserve">Pour les carburants </t>
  </si>
  <si>
    <t xml:space="preserve">Carburant utilisé par les collectivités </t>
  </si>
  <si>
    <t xml:space="preserve">La flotte totale de véhicules des communes est de 190 000 unités dont 175 000 véhicules à moteur. </t>
  </si>
  <si>
    <t>UL</t>
  </si>
  <si>
    <t>2R</t>
  </si>
  <si>
    <t xml:space="preserve">Nous considérons que </t>
  </si>
  <si>
    <t xml:space="preserve">Flotte de véhicules motorisés selon le type de carburant (communes) </t>
  </si>
  <si>
    <t>%brun</t>
  </si>
  <si>
    <t>Gazole</t>
  </si>
  <si>
    <t>Essence</t>
  </si>
  <si>
    <t>dont GPL</t>
  </si>
  <si>
    <t>dont Elec</t>
  </si>
  <si>
    <t>dont GNV</t>
  </si>
  <si>
    <t>dont bio</t>
  </si>
  <si>
    <t>dont hybride</t>
  </si>
  <si>
    <t xml:space="preserve">Sur la base de ces estimations, datées, nous estimons les dépenses brunes liées aux carburants. </t>
  </si>
  <si>
    <t xml:space="preserve">Sur la base de ce raisonnement, nous estimons que les dépenses brunes des collectivités locales liées à leur dépenses énergétiques étaient de </t>
  </si>
  <si>
    <t xml:space="preserve">Dépenses brunes des collectivités , énergétiques : </t>
  </si>
  <si>
    <t>Dépenses énergétiques brunes (€)</t>
  </si>
  <si>
    <t xml:space="preserve">export synthèse </t>
  </si>
  <si>
    <t>Dépenses énergétiques brunes (M€)</t>
  </si>
  <si>
    <t>(sources)</t>
  </si>
  <si>
    <t>(liens)</t>
  </si>
  <si>
    <t xml:space="preserve">Effets prix/volume des collectivités </t>
  </si>
  <si>
    <t>PRX_2025</t>
  </si>
  <si>
    <t>Non-résidents = entreprises, administrations publiques, professionnels (ex: taxis)</t>
  </si>
  <si>
    <t>Electricité</t>
  </si>
  <si>
    <t>Synthèse du prix de l'électricité payé par les sites moyens non résidentiels</t>
  </si>
  <si>
    <t>Fourniture</t>
  </si>
  <si>
    <t>€ / MWh</t>
  </si>
  <si>
    <t>Réseau</t>
  </si>
  <si>
    <t>TICFE</t>
  </si>
  <si>
    <t>Autres taxes</t>
  </si>
  <si>
    <t>Prix HTVA</t>
  </si>
  <si>
    <t>[LIEN]</t>
  </si>
  <si>
    <t>Eurostat, Electricity prices for non-household consumers - bi-annual data (from 2007 onwards), last update 27/04/2025</t>
  </si>
  <si>
    <t>Prix du gaz pour les non-résidents</t>
  </si>
  <si>
    <t>Prix HT</t>
  </si>
  <si>
    <t>€ / GJ</t>
  </si>
  <si>
    <t>Taxes hors TVA</t>
  </si>
  <si>
    <t>TVA</t>
  </si>
  <si>
    <t>Prix TTC</t>
  </si>
  <si>
    <t>€ / MWh PCS</t>
  </si>
  <si>
    <t>ligne utilisée</t>
  </si>
  <si>
    <t>Eurostat, Gas prices for non-household consumers - bi-annual data (from 2007 onwards), last update 31/10/2023</t>
  </si>
  <si>
    <t>Prix des produits pétroliers</t>
  </si>
  <si>
    <t>Fioul domestique - Livraisons de 2000 à 4999L</t>
  </si>
  <si>
    <t>HTT</t>
  </si>
  <si>
    <t>TTC</t>
  </si>
  <si>
    <t>Fioul domestique - Livraisons de plus de 27 000L</t>
  </si>
  <si>
    <t>Fioul lourd</t>
  </si>
  <si>
    <t>€ / tonne</t>
  </si>
  <si>
    <t>HTVA</t>
  </si>
  <si>
    <t>A [2011-2023]</t>
  </si>
  <si>
    <t>MTES, Bases de données des prix moyens des produits pétroliers, Moyennes annuelles</t>
  </si>
  <si>
    <t>Bois-énergie</t>
  </si>
  <si>
    <t>Prix des plaquettes forestières C2</t>
  </si>
  <si>
    <t>Prix HT hors livraison</t>
  </si>
  <si>
    <t>Prix HT de la livraison</t>
  </si>
  <si>
    <t>A [2014-2015]</t>
  </si>
  <si>
    <t>ADEME, Enquête sur le prix des combustibles bois pour le chauffage industriel et collectif en 2014-2015, p.28-29</t>
  </si>
  <si>
    <t>A [2016]</t>
  </si>
  <si>
    <t>ADEME, Enquête sur le prix des combustibles bois pour le chauffage industriel et collectif en 2015-2016, p.21</t>
  </si>
  <si>
    <t>A [2017]</t>
  </si>
  <si>
    <t>ADEME, Enquête sur le prix des combustibles bois pour le chauffage industriel et collectif en 2017-2018, p.24</t>
  </si>
  <si>
    <t>A [2018]</t>
  </si>
  <si>
    <t>A [2019]</t>
  </si>
  <si>
    <t>ADEME, Enquête sur le prix des combustibles bois pour le chauffage industriel et collectif en 2019-2020, p.25</t>
  </si>
  <si>
    <t>Super SP95</t>
  </si>
  <si>
    <t>Super SP95-E10</t>
  </si>
  <si>
    <t>Super SP98</t>
  </si>
  <si>
    <t xml:space="preserve">Essence </t>
  </si>
  <si>
    <t>GPLc</t>
  </si>
  <si>
    <t>MTE, Base de données des prix des carburants et combustibles en France, consulté le 27/02/2024</t>
  </si>
  <si>
    <t>Chaleur</t>
  </si>
  <si>
    <t>Prix de la chaleur vendue</t>
  </si>
  <si>
    <t>Industrie</t>
  </si>
  <si>
    <t>€ HTVA / MWh</t>
  </si>
  <si>
    <t>Secteurs autre que industrie</t>
  </si>
  <si>
    <t>€ TTC / MWh</t>
  </si>
  <si>
    <t>A [2021]</t>
  </si>
  <si>
    <t>SDES, Bilan énergétique de la France en 2022 - Synthèse, 22/02/2024</t>
  </si>
  <si>
    <t>Il n'y a pas de données semblables pour les années suivantes.</t>
  </si>
  <si>
    <t>Comparaisons</t>
  </si>
  <si>
    <t>Compraison de l'évolution des prix des énergies</t>
  </si>
  <si>
    <t>Base 100 - 2011</t>
  </si>
  <si>
    <t xml:space="preserve">Dépenses CT </t>
  </si>
  <si>
    <t>Bâtiments (€)</t>
  </si>
  <si>
    <t>ElecTOT</t>
  </si>
  <si>
    <t>GazTOT</t>
  </si>
  <si>
    <t>Fioul domestiqueTOT</t>
  </si>
  <si>
    <t>RDCTOT</t>
  </si>
  <si>
    <t>AutreTOT</t>
  </si>
  <si>
    <t>Bâtiments (unités)</t>
  </si>
  <si>
    <t>(unité)</t>
  </si>
  <si>
    <t>Mwh</t>
  </si>
  <si>
    <t>MwhPCS</t>
  </si>
  <si>
    <t>tonnes</t>
  </si>
  <si>
    <t>Carburants (€)</t>
  </si>
  <si>
    <t>GazoleTOT</t>
  </si>
  <si>
    <t>EssenceTOT</t>
  </si>
  <si>
    <t>dont GPLTOT</t>
  </si>
  <si>
    <t>dont ElecTOT</t>
  </si>
  <si>
    <t>dont GNVTOT</t>
  </si>
  <si>
    <t>dont bioTOT</t>
  </si>
  <si>
    <t>dont hybrideTOT</t>
  </si>
  <si>
    <t>Carburants (unités)</t>
  </si>
  <si>
    <t>litres</t>
  </si>
  <si>
    <t>Kwh</t>
  </si>
  <si>
    <t>Contrefactuel - bâtiments</t>
  </si>
  <si>
    <t>Contrefactuel - carburants</t>
  </si>
  <si>
    <t>Variations avec dépense réelle</t>
  </si>
  <si>
    <t>Economies 2017-2023</t>
  </si>
  <si>
    <t xml:space="preserve">RECAP - deux lignes de dépenses </t>
  </si>
  <si>
    <t xml:space="preserve">Total dépenses niveau de conso de 2017 </t>
  </si>
  <si>
    <t xml:space="preserve">Total dépenses réel </t>
  </si>
  <si>
    <t xml:space="preserve">Dépenses éclairage public </t>
  </si>
  <si>
    <t xml:space="preserve">Communes </t>
  </si>
  <si>
    <t xml:space="preserve">GFP </t>
  </si>
  <si>
    <t xml:space="preserve">Consommations éclairage public </t>
  </si>
  <si>
    <t>TOTAL (Mwh)</t>
  </si>
  <si>
    <t xml:space="preserve">Contrefactuel éclairage public </t>
  </si>
  <si>
    <t>Coût (€)</t>
  </si>
  <si>
    <t>Différence côut (€)</t>
  </si>
  <si>
    <t xml:space="preserve">Effets prix / volume / croisé par période  - éclairage public </t>
  </si>
  <si>
    <t>D2017-2022</t>
  </si>
  <si>
    <t>EP2017-2022</t>
  </si>
  <si>
    <t>EV2017-2022</t>
  </si>
  <si>
    <t>EC2017-2022</t>
  </si>
  <si>
    <t xml:space="preserve">Effets prix / volume / croisé par période  - Bâtiments </t>
  </si>
  <si>
    <t>D2011-2022</t>
  </si>
  <si>
    <t>D2017-2023</t>
  </si>
  <si>
    <t>EP2011-2022</t>
  </si>
  <si>
    <t>EP2017-2023</t>
  </si>
  <si>
    <t>EV2011-2017</t>
  </si>
  <si>
    <t>EV2017-2023</t>
  </si>
  <si>
    <t>EC2011-2023</t>
  </si>
  <si>
    <t>EC2017-2023</t>
  </si>
  <si>
    <t>EP2011-2023</t>
  </si>
  <si>
    <t>EV2011-2023</t>
  </si>
  <si>
    <t>EC2011-2022</t>
  </si>
  <si>
    <t>Graphiques</t>
  </si>
  <si>
    <t xml:space="preserve">Dépenses énergétiques - ressources additionnelles </t>
  </si>
  <si>
    <t>DJU 15°C</t>
  </si>
  <si>
    <t>dju_donnees_nationales_1970_2024_v4.xlsx</t>
  </si>
  <si>
    <t>DJU 17°C</t>
  </si>
  <si>
    <t>DJU de référence (moyenne sur la période 1991-2020)</t>
  </si>
  <si>
    <t>DJU</t>
  </si>
  <si>
    <t>Indice de rigueur</t>
  </si>
  <si>
    <t>Construction neuve des bâtiments tertiaires</t>
  </si>
  <si>
    <t>Cette fiche recense l'ensemble des dépenses liées à la construction neuve de bâtiments tertiaires</t>
  </si>
  <si>
    <t xml:space="preserve">Tout bâtiment tertiaire engendrant de l'artificialisation ou ne respectant pas les seuils de performance entre dans la catégorie sont considérés comme défavorables. </t>
  </si>
  <si>
    <t xml:space="preserve">La méthodologie diffère donc de celle employée par le PanoNAT qui prend en considération l'ensemble des dépenses n'ayant pas trait à de la performance énergétique. </t>
  </si>
  <si>
    <t>Estimation dépenses défavorables à l'environnement</t>
  </si>
  <si>
    <t>Nous calculons l'évolution des surfaces chauffées pour chaque type de bâtiments neufs</t>
  </si>
  <si>
    <t>BAT_2025_€TER_NEUF_1071</t>
  </si>
  <si>
    <t xml:space="preserve">Nous attribuons certains types de bâtiments aux collectivités territoriales. </t>
  </si>
  <si>
    <t>Série retenue de surfaces tertiaires chauffées neuves</t>
  </si>
  <si>
    <t>BAT_2024_€TER_NEUF_1165</t>
  </si>
  <si>
    <t>BAT_2025_€TER_NEUF_1090</t>
  </si>
  <si>
    <t xml:space="preserve">Répartition porteur de projet par type de bâtiment </t>
  </si>
  <si>
    <t>SDES</t>
  </si>
  <si>
    <t>CEREN</t>
  </si>
  <si>
    <t>Hébergement</t>
  </si>
  <si>
    <t>Habitat communautaire</t>
  </si>
  <si>
    <t>Bureau</t>
  </si>
  <si>
    <t>Bureaux</t>
  </si>
  <si>
    <t>Commerce</t>
  </si>
  <si>
    <t>Cafés-hôtels- restaurants</t>
  </si>
  <si>
    <t>Artisanat</t>
  </si>
  <si>
    <t>Entrepôt</t>
  </si>
  <si>
    <t>Collectivités</t>
  </si>
  <si>
    <t>Enseignement</t>
  </si>
  <si>
    <t>Enseignement- recherche</t>
  </si>
  <si>
    <t>Santé</t>
  </si>
  <si>
    <t>Social</t>
  </si>
  <si>
    <t>Spécial</t>
  </si>
  <si>
    <t>Sport-loisirs- culture</t>
  </si>
  <si>
    <t>Culture Loisir</t>
  </si>
  <si>
    <t>Pour les bâtiments de santé, nous supposons que la moitié des surfaces est due aux entreprises, l'autre moitié à l'Etat.</t>
  </si>
  <si>
    <t>BAT_2024_€TER_NEUF_1090</t>
  </si>
  <si>
    <t>Application de la part des locaux chauffés par type de local</t>
  </si>
  <si>
    <t>(source)</t>
  </si>
  <si>
    <t>Enseignement - recherche</t>
  </si>
  <si>
    <t>m2</t>
  </si>
  <si>
    <t>Action sociale</t>
  </si>
  <si>
    <t>Culture - loisirs</t>
  </si>
  <si>
    <t>% Enseignement recherche</t>
  </si>
  <si>
    <t xml:space="preserve">% Action sociale </t>
  </si>
  <si>
    <t>% Culture loisirs</t>
  </si>
  <si>
    <t>BAT_2025_€TER_NEUF_1441</t>
  </si>
  <si>
    <t>Synthèse</t>
  </si>
  <si>
    <t>Performance énergétique</t>
  </si>
  <si>
    <t>Hors performance énergétique</t>
  </si>
  <si>
    <t xml:space="preserve">En euros courants </t>
  </si>
  <si>
    <t xml:space="preserve">Coût estimé au m2 </t>
  </si>
  <si>
    <t>€/m2</t>
  </si>
  <si>
    <t xml:space="preserve">En reprenant la méthode BV - ETAT </t>
  </si>
  <si>
    <t xml:space="preserve">TOTAL dépenses brunes </t>
  </si>
  <si>
    <t xml:space="preserve">La source du ratio d'artificialisation du BV de l'état permet d'obtenir un ratio d'artificialisation des bâtiments publics </t>
  </si>
  <si>
    <t>012741-01_rapport-publie.pdf;jsessionid=42C3EC2B04DA500554C047ED1585733F</t>
  </si>
  <si>
    <t>Selon ces données, la mission a retenu que  en outre, 36 % des nouveaux bâtiments des services publics sont construits sur des 
terres artificialisées</t>
  </si>
  <si>
    <t>La mission a fait l’hypothèse que les proportions indiquées ci-dessus sur les surfaces bâties sont également valables sur les dépenses de construction en supposant que la valeur des logements est proportionnelle aux surfaces.</t>
  </si>
  <si>
    <t>Cette hypothèse simplificatrice méritera toutefois d’être vérifiée par une étude approfondie sur ce point, la mission notant que les travaux de fond sur ces sujets sont particulièrement pauvres.</t>
  </si>
  <si>
    <t>Nous pouvons également procéder en partant des données budgétaires des collectivités</t>
  </si>
  <si>
    <t xml:space="preserve">BP+BA Constructions (2313 2314 213 214) </t>
  </si>
  <si>
    <t>Commune</t>
  </si>
  <si>
    <t>Paris</t>
  </si>
  <si>
    <t>EPT</t>
  </si>
  <si>
    <t>Département</t>
  </si>
  <si>
    <t>Région</t>
  </si>
  <si>
    <t>CTU</t>
  </si>
  <si>
    <t xml:space="preserve">Ensemble </t>
  </si>
  <si>
    <t>Comptes 23 et 21 LBP</t>
  </si>
  <si>
    <t xml:space="preserve">Comptes collectivité </t>
  </si>
  <si>
    <t>213 +214+2313+2314</t>
  </si>
  <si>
    <t xml:space="preserve">TOTAL dépenses bâtimentaires </t>
  </si>
  <si>
    <t xml:space="preserve">Dépenses dans le neuf (ratio IGF) </t>
  </si>
  <si>
    <t>export synthèse</t>
  </si>
  <si>
    <t xml:space="preserve">Véhicules légers thermiques </t>
  </si>
  <si>
    <t>Historique</t>
  </si>
  <si>
    <t>Cette fiche recense les investissements des collectivités dans les véhicules thermiques fossiles</t>
  </si>
  <si>
    <t xml:space="preserve">L'équipe Pano utilise une réflexion par motorisation, mais dont le résultat final devrait être assez proche de celle par g/CO2. </t>
  </si>
  <si>
    <t>Estimation des dépenses défavorables à l'environnement</t>
  </si>
  <si>
    <t xml:space="preserve">Nous partons des chroniques d'immatriculation des véhicules particuliers neufs données par le SDES et appliquons des coûts unitaires </t>
  </si>
  <si>
    <t xml:space="preserve">Nous attribuons aux collectivités les achats correpondant à leur part dans la flotte totale de véhicules en partant de l'étude IGF (2023). </t>
  </si>
  <si>
    <t>Extractions</t>
  </si>
  <si>
    <t>TRA_2025_€VPAF_1026</t>
  </si>
  <si>
    <t>Electriques</t>
  </si>
  <si>
    <t>(véhicules)</t>
  </si>
  <si>
    <t>(favorables)</t>
  </si>
  <si>
    <t>Hybrides rechargeables</t>
  </si>
  <si>
    <t>(en transition)</t>
  </si>
  <si>
    <t>GNV ou GPL</t>
  </si>
  <si>
    <t>(défavorables)</t>
  </si>
  <si>
    <t>Hybrides non rechargeables</t>
  </si>
  <si>
    <t>D'après le SDES</t>
  </si>
  <si>
    <t xml:space="preserve">total Véhicules défavorables </t>
  </si>
  <si>
    <t xml:space="preserve">Immatriculations totales </t>
  </si>
  <si>
    <t>Evolution des immatriculations</t>
  </si>
  <si>
    <t>Evolution  2017-2023</t>
  </si>
  <si>
    <t>Evolution 2011-2023</t>
  </si>
  <si>
    <t>Moyenne 2020-2025</t>
  </si>
  <si>
    <t>véhicules/an</t>
  </si>
  <si>
    <t>Moyenne 2014-2020</t>
  </si>
  <si>
    <t>Evolution des immatriculations de véhicules défavorables</t>
  </si>
  <si>
    <t>(neutres)</t>
  </si>
  <si>
    <t>(non classé)</t>
  </si>
  <si>
    <t>TRA_2024_€VPAF_818</t>
  </si>
  <si>
    <t>Prix unitaire des différentes motorisations</t>
  </si>
  <si>
    <t>(K EUR / unité)</t>
  </si>
  <si>
    <t>Autres énergies</t>
  </si>
  <si>
    <t xml:space="preserve">VUL thermiques </t>
  </si>
  <si>
    <t xml:space="preserve">Nous attribuons aux collectivités les achats correpondant à leur part dans la flotte totale de véhicules. </t>
  </si>
  <si>
    <t>TRA_2025_€VUL_1185</t>
  </si>
  <si>
    <t>Investissements dans les VUL par porteur de projet</t>
  </si>
  <si>
    <t>VUL thermiques</t>
  </si>
  <si>
    <t>VUL hybrides</t>
  </si>
  <si>
    <t>VUL GNV</t>
  </si>
  <si>
    <t>VUL électriques</t>
  </si>
  <si>
    <t>Immatriculations des VUL</t>
  </si>
  <si>
    <t>(nombre)</t>
  </si>
  <si>
    <t>VUL hybrides rechargeables</t>
  </si>
  <si>
    <t>BUS&amp;CAR Thermiques</t>
  </si>
  <si>
    <t xml:space="preserve">La prise en compte est la même, mais diffère de la méthodologie utilisée par l'état (ensemble des TC en vert). </t>
  </si>
  <si>
    <t xml:space="preserve">Nous partons des chroniques d'immatriculation des véhicules neufs données par le SDES et appliquons des coûts unitaires </t>
  </si>
  <si>
    <t>TRA_2025_€BUS&amp;CAR_750</t>
  </si>
  <si>
    <t>Séries d'immatriculations retenues dans les autobus et autocars diesel</t>
  </si>
  <si>
    <t>Autobus</t>
  </si>
  <si>
    <t>Entreprises du secteur des transports routiers de voyageurs</t>
  </si>
  <si>
    <t>Collectivités publiques</t>
  </si>
  <si>
    <t>Autocars</t>
  </si>
  <si>
    <t xml:space="preserve">Total Collectivités </t>
  </si>
  <si>
    <t>[2011-2022]</t>
  </si>
  <si>
    <t>Nous gardons la chronique des immatriculations du SDES (RSVERO)</t>
  </si>
  <si>
    <t>[2023]</t>
  </si>
  <si>
    <t>Pour le prévisionnel, nous appliquons le taux de croissance entre le Q1 2022 et le Q2 2023 donné par l'ACEA au total de l'année 2022 selon le SDES RSVERO.</t>
  </si>
  <si>
    <t>(nombre de véhicules)</t>
  </si>
  <si>
    <t>Transports routiers réguliers de voyageurs (NAF 49.39A)</t>
  </si>
  <si>
    <t>Autres transports routiers de voyageurs (NAF 49.39B)</t>
  </si>
  <si>
    <t>RATP (NAF 49.31Z)</t>
  </si>
  <si>
    <t>Transports urbains et suburbains de voyage (NAF 49.31Z)</t>
  </si>
  <si>
    <t>Administration publique (NAF 84.11Z &amp; 84.13Z) / Autres secteurs</t>
  </si>
  <si>
    <t>A, B</t>
  </si>
  <si>
    <t>Datalab - Le transport collectif routier de voyageurs en 2015 : circulation et parc en progression, parcours moyen stable</t>
  </si>
  <si>
    <t>FranceHydrogène, AVERE, La transition de l’autocar vers des technologies zéro émission, octobre 2023</t>
  </si>
  <si>
    <t>Note : nous supposons que les autocars &amp; autobus qui n'appartiennent pas aux entreprises du secteur des transports routiers de voyageurs appartiennent aux collectivités territoriales.</t>
  </si>
  <si>
    <t>Note : ces chiffres présentent le stock d'autobus et d'autocars en circulation et non les flux.</t>
  </si>
  <si>
    <t>TRA_2025_€BUS&amp;CAR_840</t>
  </si>
  <si>
    <t>Investissements dans les bus et cars diesel</t>
  </si>
  <si>
    <t>TRA_2025_€BUS&amp;CAR</t>
  </si>
  <si>
    <t>Dépenses totales</t>
  </si>
  <si>
    <t>Bus électriques</t>
  </si>
  <si>
    <t xml:space="preserve">Bus hybrides </t>
  </si>
  <si>
    <t>Autobus GNV</t>
  </si>
  <si>
    <t xml:space="preserve">Bus diesel </t>
  </si>
  <si>
    <t>Cars diesel</t>
  </si>
  <si>
    <t xml:space="preserve">Cette fiche recense les investissements des collectivités dans le matériel roulant ferroviaire à motorisation diesel. </t>
  </si>
  <si>
    <t xml:space="preserve">A partir des comptes du transport. </t>
  </si>
  <si>
    <t>TRA_2025_€MR_FER_57</t>
  </si>
  <si>
    <t>Investissements dans les différentes branches du groupe SNCF</t>
  </si>
  <si>
    <t>SNCF Voyageurs *</t>
  </si>
  <si>
    <t>(M€)</t>
  </si>
  <si>
    <t>Transilien</t>
  </si>
  <si>
    <t>TER</t>
  </si>
  <si>
    <t>Transilien &amp; TER</t>
  </si>
  <si>
    <t>Transilien, TER &amp; Intercités</t>
  </si>
  <si>
    <t>TGV-Intercités</t>
  </si>
  <si>
    <t>Voyages SNCF ****</t>
  </si>
  <si>
    <t>Intercités</t>
  </si>
  <si>
    <t>Direction industrielle</t>
  </si>
  <si>
    <t>Total - SNCF Voyageurs</t>
  </si>
  <si>
    <t>Investissement pour le fret **</t>
  </si>
  <si>
    <t>C</t>
  </si>
  <si>
    <t>Investissements logistiques</t>
  </si>
  <si>
    <t>Investissement total de SNCF Mobilités ***</t>
  </si>
  <si>
    <t>Investissement de SNCF Mobilités pour le matériel roulant</t>
  </si>
  <si>
    <t>* Comprend aussi la direction industrielle et autres</t>
  </si>
  <si>
    <t>** Correspond, selon les années, à SNCF Logistics, Fret SNCF ou Rail Logistics Europe</t>
  </si>
  <si>
    <t>*** Avant 2019, comprend SNCF Voyageurs mais aussi SNCF Gares et Connexions, SNCF Logistics (fret) et Keolis (TCU).</t>
  </si>
  <si>
    <t>**** En 2020, semble correspondre à TGV-Intercités, mais les années précédentes ne comprend que TGV</t>
  </si>
  <si>
    <t>TRA_2025_€MR_FER_120</t>
  </si>
  <si>
    <t>Investissements des entreprises de transport ferroviaire dans le matériel roulant retenus par le Panorama</t>
  </si>
  <si>
    <t>Série retenue - Total</t>
  </si>
  <si>
    <t>dont fossile</t>
  </si>
  <si>
    <t>dont climat</t>
  </si>
  <si>
    <t>dont IDF (Transilien)</t>
  </si>
  <si>
    <t>D</t>
  </si>
  <si>
    <t>dont climat (hors Transilien)</t>
  </si>
  <si>
    <t>A5.1-a Transferts des administrations publiques aux opérateurs de transport collectif de voyageurs (SNCF, RATP, TCU de province) par type de réseaux</t>
  </si>
  <si>
    <t>SNCF-Intercités</t>
  </si>
  <si>
    <t>M(€)</t>
  </si>
  <si>
    <t>SNCF-TER</t>
  </si>
  <si>
    <t>SNCF-Transilien</t>
  </si>
  <si>
    <t>RATP</t>
  </si>
  <si>
    <t>TCUP (1) (2)</t>
  </si>
  <si>
    <t xml:space="preserve">Total collectivités </t>
  </si>
  <si>
    <t>Part du financement des CT sur les dépenses totales</t>
  </si>
  <si>
    <t xml:space="preserve">Nous attribuons aux collectivités les subventions d'investissements aux lignes TER + Transilien. </t>
  </si>
  <si>
    <t>Estimation des dépenses brunes :</t>
  </si>
  <si>
    <t>Discussion MDO</t>
  </si>
  <si>
    <t xml:space="preserve">Le parc Transilien est totalement électrique. </t>
  </si>
  <si>
    <t xml:space="preserve">Nous considérons que les dépenses brunes identifiées par le Panorama se répartissent entre les Intercités et les TER. </t>
  </si>
  <si>
    <t xml:space="preserve">Nous répartissons les investissements bruns entre les TER et les Intercités à la moyenne du pro-rata dans l'investissements dans les deux années (2018, 2019) où nous pouvons les distinguer au sein des investissements de SNCF. </t>
  </si>
  <si>
    <t xml:space="preserve">Pour cela : </t>
  </si>
  <si>
    <t>1. Nous commençons par déterminer, au sein des financements quelle part est dédiée aux TER :</t>
  </si>
  <si>
    <t>Part de l'investissement Transilien + TER dédiés aux TER</t>
  </si>
  <si>
    <t xml:space="preserve">Moyenne </t>
  </si>
  <si>
    <t xml:space="preserve">" </t>
  </si>
  <si>
    <t xml:space="preserve">2. Nous déterminons, au sein des investissements TER + Transilien la part des TER </t>
  </si>
  <si>
    <t>Part de l'investissement Transilien + Intercités attribué aux TER</t>
  </si>
  <si>
    <t>Investissements TER</t>
  </si>
  <si>
    <t>3. Nous comparons le poids des achats TER et Intercités</t>
  </si>
  <si>
    <t>Détermination du ratio entre achats TER et Interciés</t>
  </si>
  <si>
    <t>Moyenne</t>
  </si>
  <si>
    <t xml:space="preserve">Poids TER </t>
  </si>
  <si>
    <t xml:space="preserve">Poids Intercités </t>
  </si>
  <si>
    <t>4. Nous construisons la série de dépenses brunes attribuées aux collectivités, en :</t>
  </si>
  <si>
    <t xml:space="preserve">Nous appliquons aux dépenses brunes un taux moyen de 68%, ce qui permet d'isoler les dépenses brunes liées aux TER. </t>
  </si>
  <si>
    <t xml:space="preserve">Nous appliquons à ces dépenses brunes, la part de financement des collectivités </t>
  </si>
  <si>
    <t xml:space="preserve">Dépenses brunes des TER et financements CT </t>
  </si>
  <si>
    <t xml:space="preserve">Dépenses brunes liées au TER </t>
  </si>
  <si>
    <t xml:space="preserve">Dépenses brunes collectivités </t>
  </si>
  <si>
    <t>Evolution des dépenses défavorables</t>
  </si>
  <si>
    <t>Moyenne  2017-2023</t>
  </si>
  <si>
    <t>M€</t>
  </si>
  <si>
    <t>Moyenne 2012-2017</t>
  </si>
  <si>
    <t>Moyenne 2012-2023</t>
  </si>
  <si>
    <t>Routes</t>
  </si>
  <si>
    <t xml:space="preserve">Cette fiche recense les investissements dans les infrastructures routières. </t>
  </si>
  <si>
    <t xml:space="preserve">Nous disposons de différentes sources nous permettant de déterminer, à l'échelle nationale, les investissements dans les infrastructures routières : </t>
  </si>
  <si>
    <t>TRA_2024_€ROUTE_32</t>
  </si>
  <si>
    <t>Investissements dans les infrastructures routières d'après le Compte des transports</t>
  </si>
  <si>
    <t>Domaine concédé</t>
  </si>
  <si>
    <t>Domaine non concédé</t>
  </si>
  <si>
    <t xml:space="preserve">—dont réseau départ. et local </t>
  </si>
  <si>
    <t>—dont réseau national</t>
  </si>
  <si>
    <t>Ensemble</t>
  </si>
  <si>
    <t>BIS 192 - les dépenses de voirie 2013-2023 v4.pdf</t>
  </si>
  <si>
    <t>Investissements dans les infrastructures routières d'après le BIS 192 de la DGCL</t>
  </si>
  <si>
    <t>Dépense totale</t>
  </si>
  <si>
    <t>Mds €</t>
  </si>
  <si>
    <t>Dépenses d'investissement</t>
  </si>
  <si>
    <t xml:space="preserve">Dépenses de fonctionnement </t>
  </si>
  <si>
    <t>ratio DI/DTOT</t>
  </si>
  <si>
    <t>Extractions LBP</t>
  </si>
  <si>
    <t>Investissements dans les infrastructures routières d'après données comptables DGFIP</t>
  </si>
  <si>
    <t>Dépenses de voirie - reconstitution 1</t>
  </si>
  <si>
    <t>€</t>
  </si>
  <si>
    <t xml:space="preserve">Réseaux de voirie </t>
  </si>
  <si>
    <t xml:space="preserve"> Installations de voirie</t>
  </si>
  <si>
    <t>Reconstitution - 2 avec poids fonction</t>
  </si>
  <si>
    <t xml:space="preserve">Si leurs ordres de grandeur convergent, malhereusement,  ces chiffres ne distinguent pas entre investissements dans de nouvelles infrastructures routières et entretien de la voirie existante. </t>
  </si>
  <si>
    <t xml:space="preserve">Estimation de la part de ces dépenses étant dédiées à de nouvelles routes </t>
  </si>
  <si>
    <t xml:space="preserve">Nous essayons  de déterminer la part de ces dépenses pouvant  être attribuée à la construction de nouvelles routes. </t>
  </si>
  <si>
    <t>Nous employons plusieures méthodes :</t>
  </si>
  <si>
    <t xml:space="preserve">Méthode par les coûts unitaires : </t>
  </si>
  <si>
    <t>2023_comptes_transports_donnees_cadrage.xlsx</t>
  </si>
  <si>
    <t xml:space="preserve">Cadrage3.b4 Routes départementales par région et département </t>
  </si>
  <si>
    <t>2018 (3)</t>
  </si>
  <si>
    <t>Situation au 31 décembre de chaque année</t>
  </si>
  <si>
    <t xml:space="preserve">en kilomètres </t>
  </si>
  <si>
    <t>Cadrage3.b5 Voies communales par région et département (1)</t>
  </si>
  <si>
    <t xml:space="preserve">A partir de ces informations, nous essayons de déterminer le nombre de nouveaux kilomètres de voirie construits chaque année. Nous remarquons de nombreuses ruptures de série. </t>
  </si>
  <si>
    <t xml:space="preserve">Nouvelles routes </t>
  </si>
  <si>
    <t>Voies départementales</t>
  </si>
  <si>
    <t>Voies communales</t>
  </si>
  <si>
    <t>Nous essayons de trouver des coûts unitaires</t>
  </si>
  <si>
    <t xml:space="preserve">Coûts unitaires voirie </t>
  </si>
  <si>
    <t>dossier-de-presse-ag-2015-usirf.pdf</t>
  </si>
  <si>
    <t xml:space="preserve">Le coût moyen de construction pour une route à 2x2 voies est de l’ordre de 5,4 M€HT par km (valeur 2006). </t>
  </si>
  <si>
    <t>Un kilomètre de route départementale : couche de roulement : 100.000 € ; réfection de la structure de chaussée : 200.000 €.</t>
  </si>
  <si>
    <t xml:space="preserve"> Construction d’une route neuve de 2 { 5 millions d’euros.</t>
  </si>
  <si>
    <t>Les collectivités locales dépensent 15 Milliards pour leurs routes dont 7,5 Milliards en travaux confiés à nos entreprises.</t>
  </si>
  <si>
    <t>L’essentiel (90 %) du chiffre d’affaires des entreprises routières est fait sur l’entretien du réseau routier et de voirie existant.</t>
  </si>
  <si>
    <t>Combien coûte la construction d’une route ? - Asphalte Évolution</t>
  </si>
  <si>
    <t>Le coût de construction d’une route simple à double sens de circulation est en moyenne de 2 millions d’euros au kilomètre</t>
  </si>
  <si>
    <t xml:space="preserve">IGF, Investissement des CT </t>
  </si>
  <si>
    <t xml:space="preserve">Sobriété foncière se traduit par une réduction des investissements requis pour la voirie neuve, dont le montant s'élève à 1,44Md€ en 2022. </t>
  </si>
  <si>
    <t xml:space="preserve">Les ruptures dans la série kilométrique rendent cette approche peu convaincante. </t>
  </si>
  <si>
    <t xml:space="preserve">Nous décidons de reprendre la méthode IGF. </t>
  </si>
  <si>
    <t xml:space="preserve">Dépenses voirie nouvelle en 2022 </t>
  </si>
  <si>
    <t xml:space="preserve">Dépense </t>
  </si>
  <si>
    <t>Nous construisons des ratios un ratio (dépenses voirie neuve / dépense d'investissement voirie) sur la base des dépenses constatées en 2022</t>
  </si>
  <si>
    <t>Ratio 1 - Compte des transports</t>
  </si>
  <si>
    <t>Ratio 2 - BIS</t>
  </si>
  <si>
    <t>Ratio 3 - Extraction LBP</t>
  </si>
  <si>
    <t xml:space="preserve">Cela nous permet de reconstituer la série historique suivante : </t>
  </si>
  <si>
    <t>Séries dépenses brunes</t>
  </si>
  <si>
    <t>Aéroports</t>
  </si>
  <si>
    <t xml:space="preserve">Cette fiche recense les investissements des administrations publiques dans les infrastructures aéroportuaires. </t>
  </si>
  <si>
    <t>TRA_2025_€AERO_195</t>
  </si>
  <si>
    <t>Infrastructures aériennes</t>
  </si>
  <si>
    <t>Administrations publiques</t>
  </si>
  <si>
    <t>Evolution</t>
  </si>
  <si>
    <t>(%)</t>
  </si>
  <si>
    <t>[2021]</t>
  </si>
  <si>
    <t>Nous supposons que les entreprises et administrations publiques augmentent/réduisent dans les mêmes proportions qu'ADP les investissements dans les infrastructures aéroportuaires.</t>
  </si>
  <si>
    <t>https://www.capital.fr/economie-politique/gaspillage-dargent-public-ces-petits-aeroports-regionaux-qui-nous-coutent-un-bras-1489123</t>
  </si>
  <si>
    <t xml:space="preserve">100M€/an d'économies par an en diminuant de moitié les aéroports régionaux. </t>
  </si>
  <si>
    <t>Jacques Pavaux, ancien directeur général de l'Institut du transport aérien</t>
  </si>
  <si>
    <t> le total de l’aide publique consacrée à ces infrastructures dépasse les 250 millions d’euros par an.</t>
  </si>
  <si>
    <t xml:space="preserve">D'après maxime : plus d'informations CDC ou ART </t>
  </si>
  <si>
    <t>Quel avenir pour les aéroports secondaires et régionaux en France (...) - Métropolitiques</t>
  </si>
  <si>
    <t xml:space="preserve">Pratique recurrente déployée pour attirer les compagnies aériennes est celle des subventions directes et indirectes. </t>
  </si>
  <si>
    <t xml:space="preserve">Soutien financier aux infrastructures aéroportuaires d'organismes publics locaux. </t>
  </si>
  <si>
    <t xml:space="preserve">Englobe diverse facettes : prise en charge des coûts d'exploitation, financement de projets d'infrastructures, gestion des installations, aides financières aux compagnies aériennes. </t>
  </si>
  <si>
    <t xml:space="preserve">Ex: La Rochelle, 2019, création d'un syndicat mixte : acteurs publics, dont la région Nouvelle-Aquitaine adhèrent en apportant des contirbutions variables. </t>
  </si>
  <si>
    <t xml:space="preserve">Obj : garantir la continuité de fonctionnement de l'aéroport. </t>
  </si>
  <si>
    <t xml:space="preserve">Ex: Bergerac, Ryanair exige 250k€ de subventions pour ouvrir de nouvelles lignes + aides au marketing fournies par les acteurs locaux contre 100k à 140k€ en 2019. </t>
  </si>
  <si>
    <t xml:space="preserve">Ex : Carcassone, Région Occitanie assume 80% du financements tandis les CA de Carcassonne et de Narbone contribuent chacune à hauteur de 10%. Une seule compagnie (Ryanair) donc déséquilibre dans les relations. </t>
  </si>
  <si>
    <t>Le maillage aéroportuaire français | Cour des comptes</t>
  </si>
  <si>
    <t>Ainsi, sur la période 2017 à 2019, 15 aéroports ont versé à la société Ryanair directement ou par l’intermédiaire de sa filiale AMS plus de 58,3 M€ pour l’achat de prestations marketing sous différentes formes.</t>
  </si>
  <si>
    <t>Cette pratique est fortement localisée dans la région Occitanie, où Ryanair et sa filiale ont reçu près de 33 M€ de 2017 à 2019, soit près de 11 M€/an, de la part de six aéroports (Béziers, Carcassonne, Nîmes, Perpignan, Rodez et Tarbes)</t>
  </si>
  <si>
    <t>Les dispositions générales de la loi NOTRé relatives à la répartition des compétences entre les différentes collectivités territoriales s’articulent avec les dispositions spéciales du code des transports, notamment son article L. 6412-4, selon lequel l’État peut « déléguer tout ou partie de l’organisation de services de transport aérien intérieurs au territoire français soumis à des obligations de service public à une collectivité territoriale ou à une autre personne publique intéressée l’ayant demandé »,</t>
  </si>
  <si>
    <t>La liaison relie deux aéroports dont l’un au moins n’a pas dépassé un trafic total de 1,5 million de passagers lors de l’année précédente ;</t>
  </si>
  <si>
    <t>Absence d’une liaison routière entre centres villes correspondants, ou ferroviaire entre gares correspondantes, ou maritime entre ports correspondants, d’une durée de trajet de moins de 2 heures 45, offrant des services adaptés et équivalents ;</t>
  </si>
  <si>
    <t>Inexistence d’un acheminement alternatif par un aéroport accessible en moins de 30 minutes de plus que le temps requis pour accéder à l’aéroport local considéré</t>
  </si>
  <si>
    <t>s</t>
  </si>
  <si>
    <t>Situation comparée des lignes sous oubligations de service public métropolitaines en 2019</t>
  </si>
  <si>
    <t>p.143</t>
  </si>
  <si>
    <t/>
  </si>
  <si>
    <t>Dates de la DSP en
vigueur</t>
  </si>
  <si>
    <t>Compagnie_x000D_
délégataire</t>
  </si>
  <si>
    <t>Déficit d'exploitation_x000D_
déclaré 2019 (M€)</t>
  </si>
  <si>
    <t>Compensation_x000D_
exécutée en 2019_x000D_
(M€)</t>
  </si>
  <si>
    <t>Dont État</t>
  </si>
  <si>
    <t>PAX en 2019</t>
  </si>
  <si>
    <t>Taux de remplissage_x000D_
en 2019</t>
  </si>
  <si>
    <t>Compensation/PAX_x000D_
en 2019 (en euros)</t>
  </si>
  <si>
    <t>Vols annuels en 2019</t>
  </si>
  <si>
    <t>Agen</t>
  </si>
  <si>
    <t>2019-2023_x000D_
mais_x000D_
résiliée_x000D_
en_x000D_
décembr_x000D_
e 2020</t>
  </si>
  <si>
    <t>Chalair</t>
  </si>
  <si>
    <t>949 sur_x000D_
990</t>
  </si>
  <si>
    <t>Aurillac*</t>
  </si>
  <si>
    <t>Air_x000D_
France</t>
  </si>
  <si>
    <t>1480 sur_x000D_
1490</t>
  </si>
  <si>
    <t>Brive</t>
  </si>
  <si>
    <t>2018-2022</t>
  </si>
  <si>
    <t>Hop!</t>
  </si>
  <si>
    <t>1488 sur_x000D_
1536</t>
  </si>
  <si>
    <t>Castres*</t>
  </si>
  <si>
    <t>1153 sur_x000D_
1408</t>
  </si>
  <si>
    <t>La_x000D_
Rochelle-Poitiers-Lyon</t>
  </si>
  <si>
    <t>2015-2019</t>
  </si>
  <si>
    <t>Hop !</t>
  </si>
  <si>
    <t>950 sur_x000D_
968</t>
  </si>
  <si>
    <t>Le Puy</t>
  </si>
  <si>
    <t>Twin Jet</t>
  </si>
  <si>
    <t>832 sur_x000D_
880</t>
  </si>
  <si>
    <t>Limoges_x000D_
Paris</t>
  </si>
  <si>
    <t>12794</t>
  </si>
  <si>
    <t>28 %</t>
  </si>
  <si>
    <t>199,2</t>
  </si>
  <si>
    <t>972 sur_x000D_
1008</t>
  </si>
  <si>
    <t>Limoges_x000D_
Lyon</t>
  </si>
  <si>
    <t>19565</t>
  </si>
  <si>
    <t>nc</t>
  </si>
  <si>
    <t>130,2</t>
  </si>
  <si>
    <t>979 sur_x000D_
1008</t>
  </si>
  <si>
    <t>Quimper</t>
  </si>
  <si>
    <t>2020-2024</t>
  </si>
  <si>
    <t>na</t>
  </si>
  <si>
    <t>Rodez</t>
  </si>
  <si>
    <t>Amelia</t>
  </si>
  <si>
    <t>51248</t>
  </si>
  <si>
    <t>62 %</t>
  </si>
  <si>
    <t>16,2</t>
  </si>
  <si>
    <t>1660 sur_x000D_
1734</t>
  </si>
  <si>
    <t>Strasbourg_x000D_
Amsterdam_x000D_
*</t>
  </si>
  <si>
    <t>2019-2022</t>
  </si>
  <si>
    <t>83034</t>
  </si>
  <si>
    <t>79 %</t>
  </si>
  <si>
    <t>23,7</t>
  </si>
  <si>
    <t>1809 sur_x000D_
920</t>
  </si>
  <si>
    <t>Strasbourg_x000D_
Madrid*</t>
  </si>
  <si>
    <t>Air_x000D_
Nostrum</t>
  </si>
  <si>
    <t>16542</t>
  </si>
  <si>
    <t>68,1 %</t>
  </si>
  <si>
    <t>67,1</t>
  </si>
  <si>
    <t>460 sur_x000D_
460</t>
  </si>
  <si>
    <t>Strasbourg_x000D_
Munich*</t>
  </si>
  <si>
    <t>Lufthansa</t>
  </si>
  <si>
    <t>16196</t>
  </si>
  <si>
    <t>39 %</t>
  </si>
  <si>
    <t>72,7</t>
  </si>
  <si>
    <t>948 sur_x000D_
920</t>
  </si>
  <si>
    <t>Tarbes</t>
  </si>
  <si>
    <t>2022-2026</t>
  </si>
  <si>
    <t>Volotea</t>
  </si>
  <si>
    <t>133811</t>
  </si>
  <si>
    <t>71 %</t>
  </si>
  <si>
    <t>15,6</t>
  </si>
  <si>
    <t>1220</t>
  </si>
  <si>
    <t>4 LAT_x000D_
Ajaccio et_x000D_
Figari vers_x000D_
Marseille et_x000D_
Nice</t>
  </si>
  <si>
    <t>2016-2020</t>
  </si>
  <si>
    <t>Air_x000D_
Corsica</t>
  </si>
  <si>
    <t>492695</t>
  </si>
  <si>
    <t>73 %</t>
  </si>
  <si>
    <t>38,9</t>
  </si>
  <si>
    <t>85</t>
  </si>
  <si>
    <t>4 LAT_x000D_
Bastia et_x000D_
Calvi vers_x000D_
Marseille et_x000D_
Nice</t>
  </si>
  <si>
    <t>434744</t>
  </si>
  <si>
    <t>69 %</t>
  </si>
  <si>
    <t>42,7</t>
  </si>
  <si>
    <t>5112 sur_x000D_
5148</t>
  </si>
  <si>
    <t>2 LAT_x000D_
Ajaccio et_x000D_
Figari vers_x000D_
Orly</t>
  </si>
  <si>
    <t>Air_x000D_
Corsica /_x000D_
Air_x000D_
France /_x000D_
Hop</t>
  </si>
  <si>
    <t>606108</t>
  </si>
  <si>
    <t>26,4</t>
  </si>
  <si>
    <t>2895 sur_x000D_
2910</t>
  </si>
  <si>
    <t>2 LAT_x000D_
Bastia et_x000D_
Calvi vers_x000D_
Orly</t>
  </si>
  <si>
    <t>556796</t>
  </si>
  <si>
    <t>28,7</t>
  </si>
  <si>
    <t>2607 sur_x000D_
2619</t>
  </si>
  <si>
    <t>p.119</t>
  </si>
  <si>
    <t>Estimation de la perte de trafic en cas d'interdiction des lignes avec une alternative en train à moins de 4h</t>
  </si>
  <si>
    <t>Trafic 2019</t>
  </si>
  <si>
    <t>Perte de_x000D_
passagers</t>
  </si>
  <si>
    <t>Part de la perte_x000D_
de trafic dans le total_x000D_
de l’aéroport</t>
  </si>
  <si>
    <t>MONTPELLIER_x000D_
MÉDITERRANÉE</t>
  </si>
  <si>
    <t>METZ-NANCY-LORRAINE</t>
  </si>
  <si>
    <t>CLERMONT-FERRAND</t>
  </si>
  <si>
    <t>BREST - BRETAGNE</t>
  </si>
  <si>
    <t>RENNES- SAINT JACQUES</t>
  </si>
  <si>
    <t>TOULON-HYÈRES</t>
  </si>
  <si>
    <t>p.120</t>
  </si>
  <si>
    <t>Liaisons aériennes avec une alternative ferroviaire de moins de 4h</t>
  </si>
  <si>
    <t>Aéroport 1</t>
  </si>
  <si>
    <t>Aéroport 2</t>
  </si>
  <si>
    <t>Nombre_x000D_
de passagers_x000D_
(2019)</t>
  </si>
  <si>
    <t>CO₂ kt (2019)</t>
  </si>
  <si>
    <t>PARIS-CHARLES_x000D_
DE GAULLE</t>
  </si>
  <si>
    <t>BORDEAUX-MERIGNAC</t>
  </si>
  <si>
    <t>PARIS-ORLY</t>
  </si>
  <si>
    <t>LYON-ST-EXUPERY</t>
  </si>
  <si>
    <t>NANTES-ATLANTIQUE</t>
  </si>
  <si>
    <t>RENNES-ST-JACQUES</t>
  </si>
  <si>
    <t>MARSEILLE-PROVENCE</t>
  </si>
  <si>
    <t>MONTPELLIER-MEDITERRANEE</t>
  </si>
  <si>
    <t>TOULON-HYERES</t>
  </si>
  <si>
    <t>BREST-BRETAGNE</t>
  </si>
  <si>
    <t>CLERMONT-FERRAND-AUVERGNE</t>
  </si>
  <si>
    <t>BALE-MULHOUSE</t>
  </si>
  <si>
    <t>STRASBOURG-ENTZHEIM</t>
  </si>
  <si>
    <t>LILLE-LESQUIN</t>
  </si>
  <si>
    <t>LORIENT-LANN-BIHOUE</t>
  </si>
  <si>
    <t>QUIMPER-PLUGUFFAN</t>
  </si>
  <si>
    <t>LIMOGES-BELLEGARDE</t>
  </si>
  <si>
    <t>p.91</t>
  </si>
  <si>
    <t xml:space="preserve">La densité aéroportuaire : comparaison entre la France et ses voisins </t>
  </si>
  <si>
    <t>Aéroports pour_x000D_
1000 km^{2}</t>
  </si>
  <si>
    <t>Habitants_x000D_
par aéroport_x000D_
(millions)</t>
  </si>
  <si>
    <t>Total_x000D_
Passagers_x000D_
(millions)</t>
  </si>
  <si>
    <t>Total visiteurs_x000D_
de tourisme_x000D_
(millions)</t>
  </si>
  <si>
    <t>Passagers_x000D_
par aéroport_x000D_
en moyenne</t>
  </si>
  <si>
    <t>France_x000D_
métropolitaine</t>
  </si>
  <si>
    <t>Allemagne</t>
  </si>
  <si>
    <t>Royaume-Uni</t>
  </si>
  <si>
    <t>Espagne</t>
  </si>
  <si>
    <t>Italie</t>
  </si>
  <si>
    <t>p.92</t>
  </si>
  <si>
    <t>Aéroports_x000D_
entre 1 000_x000D_
et 10 000_x000D_
passagers</t>
  </si>
  <si>
    <t>Aéroports_x000D_
entre_x000D_
10 000_x000D_
et 200 000_x000D_
passagers</t>
  </si>
  <si>
    <t>Aéroports_x000D_
entre_x000D_
200 000 et_x000D_
1 million de_x000D_
passagers</t>
  </si>
  <si>
    <t>Aéroports_x000D_
entre 1 et_x000D_
3 millions de_x000D_
passagers</t>
  </si>
  <si>
    <t>Aéroports_x000D_
de plus de_x000D_
3 millions de_x000D_
passagers</t>
  </si>
  <si>
    <t>Total aéroports_x000D_
de plus de_x000D_
1 000 passagers</t>
  </si>
  <si>
    <t>Aéroports_x000D_
par million_x000D_
de touristes</t>
  </si>
  <si>
    <t>Aéroports_x000D_
par million_x000D_
d'habitant</t>
  </si>
  <si>
    <t>Aéroports_x000D_
intermédiaires_x000D_
par million d'habitants_x000D_
(entre 10 000 et 3 M de_x000D_
pax)</t>
  </si>
  <si>
    <t xml:space="preserve">Propriété des aéroports </t>
  </si>
  <si>
    <t xml:space="preserve">Régions </t>
  </si>
  <si>
    <t xml:space="preserve">Départements </t>
  </si>
  <si>
    <t>Syndicat mixte</t>
  </si>
  <si>
    <t xml:space="preserve">Commune </t>
  </si>
  <si>
    <t>010207-01_rapport.pdf</t>
  </si>
  <si>
    <t xml:space="preserve">CGEDD, Aides d'Etat pour les aéroports de moins de 700k passagers, 2016 </t>
  </si>
  <si>
    <t>db190828apta.pdf</t>
  </si>
  <si>
    <t>Globalement, ces 43 plus petits aéroports n’accueillent qu’un total d’environ 500 000 
passagers par an, ce qui représente moins de 0,25 % du trafic total des 81 aéroports 
ayant déclaré un trafic non nul en 2017. I</t>
  </si>
  <si>
    <t>Inutile de préciser que ces 43 aéroports ne pourraient survivre sans subventions. À titre d’illustration, et sans chercher à les stigmatiser, 33 d’entre eux affichent un trafic commercial inférieur à 10 000 passagers, soit moins de 30 passagers par jour !</t>
  </si>
  <si>
    <t>On y découvre, par exemple, Rouen avec 5 129 passagers en 2017 ; Nancy avec 2 271 ; sans parler de ceux qui ont moins de 1 000 passagers par an, donc moins de 3 passagers par jour.</t>
  </si>
  <si>
    <t>Le cumul annuel de ces déficits atteignait 47,5 millions d’euros, soit une moyenne de 1,53 million d’euros par aéroport de l’échantillon.</t>
  </si>
  <si>
    <t>Certains de ces aéroports ont réalisé des déficits compris entre 3 et 5 millions d’euros pour des trafics inférieurs à 340 000 passagers par an, voire même seulement 50 000 passagers (Vatry, avec un déficit de 3 millions d’euros).</t>
  </si>
  <si>
    <t>Notons par ailleurs qu’en 2011 et 2012, la principale liaison aérienne (une radiale vers Paris, souvent la seule ligne régulière) de six plates-formes parmi celles du tableau 3 bénéficiait d’une aide publique directe pour couvrir son propre déficit d’exploitation.</t>
  </si>
  <si>
    <t>C’était le cas pour Agen, Aurillac, Brive, Castres, Le Puy-en-Velay et Périgueux. Cette aide, accordée dans le cadre d’un contrat d’obligation de service publique dite « OSP » (Voir infra section 4.2.2) s’ajoutait aux autres subventions publiques directes destinées à couvrir l’intégralité du déficit de l’aéroport.</t>
  </si>
  <si>
    <t>Ainsi, d’après les sources disponibles, le montant des subventions d’équipement aux aéroports déficitaires représente en moyenne 300 000 à 600 000 euros par an et par aéroport.</t>
  </si>
  <si>
    <t>Mais, en vertu de l’article 1518 A du Code général des impôts (modifié par LOI n° 2009-1673 du 30 décembre 2009 – art. 2 (V), « Les valeurs locatives qui servent à l’établissement des impôts locaux sont prises en compte à raison des deux tiers de leur montant pour les aéroports ainsi que pour la moitié de leur montant pour les installations destinées à la lutte contre la pollution des eaux et de l’atmosphère faisant l’objet d’un amortissement exceptionnel au titre des articles 39 quinquies E et 39 quinquies F [du CGI]47 . »</t>
  </si>
  <si>
    <t>Pour les huit liaisons pour lesquelles il a été possible d’obtenir les données, la subvention totale annuelle varie entre 1 et 3 millions d’euros, avec une moyenne proche de 2 millions pour les années les plus récentes (2014 à 2017). Ce chiffre permet d’estimer le coût total actuel des OSP à environ 22 millions d’euros par an.</t>
  </si>
  <si>
    <t>Rapport sur le maillage aéroportuaire français</t>
  </si>
  <si>
    <t>CGET, Rapport sur le maillage aéroportuaire français, janvier 2017</t>
  </si>
  <si>
    <t>p.34</t>
  </si>
  <si>
    <t>Au cours des auditions, les acteurs locaux ont sys_x0002_tématiquement affirmé le lien fort entre l’aéroport et le développement économique de leur territoire.</t>
  </si>
  <si>
    <t xml:space="preserve">Internationalisation des entreprises qui nécessitent d'accéder rapidement à Paris, mais aussi de pouvoir se rendre régulièrement e Europe et à l'international et d'acceuillir des clients étrangers. </t>
  </si>
  <si>
    <t xml:space="preserve">Pour l'économie résidentielle et touristique, la nouvelle pratique des séjours courts rend le transport aérien le plus adapté pour capter une clientèle européenne. </t>
  </si>
  <si>
    <t xml:space="preserve">Implantés souent en grande périphérie des villes, beaucoup d'aéroports ont polarisé des activités économiques aéronautiques, industrielles, logistiques ou militaires associées à l'aéroport (Chateauroux, Dinard, Morlaix). </t>
  </si>
  <si>
    <t>Les aéroports étudiés sont la propriété d’une mul_x0002_tiplicité de collectivités publiques, voire d’acteurs privés.</t>
  </si>
  <si>
    <t xml:space="preserve">En dehors de quelques aérodromes ap_x0002_partenant à des personnes privées, les petits et moyens aéroports appartiennent, dans leur quasi_x0002_intégralité, à des collectivités locales </t>
  </si>
  <si>
    <t>Les collectivités locales sont à l’origine de la création de plusieurs centaines d’aérodromes en France dont elles sont restées propriétaires ;</t>
  </si>
  <si>
    <t>À l’issue de cette première vague de décentra_x0002_lisation, de petits aéroports sont toutefois restés propriété de l’État du fait qu’ils accueillaient à l’époque des activités du ministère de la Défense.</t>
  </si>
  <si>
    <t>Mais possible extension, l’État n’a en effet vocation à garder que les aéroports d’intérêt national ou international, ou nécessaires à l’exercice de ses mission</t>
  </si>
  <si>
    <t>Les aéroports commerciaux dé_x0002_centralisés appartiennent à des syndicats mixtes (20), des départements (9) ou des communes (5),</t>
  </si>
  <si>
    <t xml:space="preserve"> les Chambres de Commerce n’en détenant qua_x0002_siment plus (3). Quant aux aéroports d’aviation d’affaires et d’aviation générale, ils appartiennent à des syndicats (40 %) ou des communes (28 %), plus rarement par des départements (10 %).</t>
  </si>
  <si>
    <t>Jacques_Pavaux_Sénat_Impact_économique_aéroportVF3.pdf</t>
  </si>
  <si>
    <t>Partant de ce constat, M. Bandet reconnaît que : « ces lignes coûtent cher au contribuable50 » mais il compare ce coût à celui du « coût d’un kilomètre de TGV » – qu’il estime à 30 millions d’euros –</t>
  </si>
  <si>
    <t>– ainsi qu’au montant des « aides directes ou indirectes attribuées par les collectivités locales et les aéroports aux compagnies low_x0002_cost » estimant ces dernières entre 40 et 100 millions d’euros par an, doutant par ailleurs de la légalité de ces subventions.</t>
  </si>
  <si>
    <t>. Le trafic annuel moyen des 43 plus petits aéroports français est inférieur à 12 000 passagers par an et le trafic cumulé de ces 43 aéroports est inférieur à 500 000 passagers par an</t>
  </si>
  <si>
    <t>Le coût global des aides publiques accordés à cette quarantaine d’aéroports s’élève à plus de 60 millions d’euros par an51 soit un cumul de 1,8 milliard d’euros pour les 30 dernières années</t>
  </si>
  <si>
    <t>En outre, le montant de ces subventions aux lignes ne tient pas compte des autres subventions destinées à combler les déficits d’exploitation des petits aéroports du territoire français métropolitain dont nous avons estimé par ailleurs le montant global à près de 100 millions d’euros par an73 .</t>
  </si>
  <si>
    <t>73 Pavaux, J. : « Les aides publiques au transport aérien – Aéroports et compagnies aériennes », 30 juin 2019.</t>
  </si>
  <si>
    <t xml:space="preserve">Financements de la restauration collective </t>
  </si>
  <si>
    <t>Cette fiche recense la part des dépenses publiques liées à la restauration collective dans les cantines ne proposant pas un repas végétarien hebdomadaire.</t>
  </si>
  <si>
    <r>
      <t xml:space="preserve">Prise en compte par </t>
    </r>
    <r>
      <rPr>
        <b/>
        <i/>
        <sz val="11"/>
        <color rgb="FF002060"/>
        <rFont val="Aptos Narrow"/>
        <family val="2"/>
        <scheme val="minor"/>
      </rPr>
      <t xml:space="preserve">Les financements publics du système alimentaire français (I4CE, 2024) </t>
    </r>
  </si>
  <si>
    <t>Nous considérons que seules les dépenses d’approvisionnement en denrées (27%) peuvent être consi_x0002_dérées comme favorables ou défa_x0002_vorables, en fonction à la fois de la part de produits bio et le nombre de repas végétariens proposés.</t>
  </si>
  <si>
    <t>Pour l’année 2018, la loi EGALIM n’étant pas encore en vigueur, la totalité des dépenses d’appro visionnement sont considérées comme Incertain orientable .</t>
  </si>
  <si>
    <t>Pour l’année 2021, nous distinguons deux cas : Les cantines déclarant un repas végétarien hebdomadaire obligatoire (38%)</t>
  </si>
  <si>
    <t>Les autres (62%) : parmi celles-ci, nous considérons donc l’absence de repas hebdomadaire végétarien comme Défavorable (62% x 20%)</t>
  </si>
  <si>
    <t>DETAIL - Extraction comptable</t>
  </si>
  <si>
    <t>Ensemble achats alimentation</t>
  </si>
  <si>
    <t>/stats · Metabase</t>
  </si>
  <si>
    <t>En 2023, parmi les cantines ayant renseigné un chiffre sur la plateforme Macantine</t>
  </si>
  <si>
    <t xml:space="preserve">Option végétarienne 2022 </t>
  </si>
  <si>
    <t xml:space="preserve">Alternatives </t>
  </si>
  <si>
    <t>Plusieurs par semaine</t>
  </si>
  <si>
    <t>Unique</t>
  </si>
  <si>
    <t>Aucune</t>
  </si>
  <si>
    <t>Restauration collective</t>
  </si>
  <si>
    <t xml:space="preserve">Part de bio </t>
  </si>
  <si>
    <t xml:space="preserve">Cantines ne déclarant pas 1 repas végétarien hebdo </t>
  </si>
  <si>
    <t>Plateforme ma cantine : Chiffres 2023 | ABioDoc</t>
  </si>
  <si>
    <t>Chiffres bio année 2023</t>
  </si>
  <si>
    <t>Restauration collective : 27,5% de produits durables et de qualité en 2022</t>
  </si>
  <si>
    <t>Chiffres bio année 2022</t>
  </si>
  <si>
    <t>Le bio séduit la restauration collective - Agro Media</t>
  </si>
  <si>
    <t>Chiffres bio année 2015</t>
  </si>
  <si>
    <t>etude_sectorielle_restauration_2019_09_05.pdf</t>
  </si>
  <si>
    <t>Chiffres bio année 2018</t>
  </si>
  <si>
    <t>Etude d'impact sur le texte, n° 627 - 15e législature - Assemblée nationale</t>
  </si>
  <si>
    <t xml:space="preserve">Chiffres bio année 2018 </t>
  </si>
  <si>
    <t>AVF_Enquete EGalim menu vege_Synthèse_fev2024</t>
  </si>
  <si>
    <t xml:space="preserve">Chiffres repas végétariens année 2023 - pour les cantines scolaires seulement, mais appliqués à l'ensemble des dépenses </t>
  </si>
  <si>
    <t>Sur mon territoire - ma cantine</t>
  </si>
  <si>
    <t xml:space="preserve">Chiffres repas végétariens 2022 et bio 2021 et 2020 </t>
  </si>
  <si>
    <t>Les financements publics du système alimentaire français</t>
  </si>
  <si>
    <t>Chiffres repas végétariens 2021</t>
  </si>
  <si>
    <t xml:space="preserve">Méthode de calcul des dépenses brunes </t>
  </si>
  <si>
    <t xml:space="preserve">Part de cantines ne respectant pas le repas végétarien x 20% (repas végétarien non assuré) </t>
  </si>
  <si>
    <t xml:space="preserve">Méthode I4CE, 2024 </t>
  </si>
  <si>
    <t>Méthode I4CE, 2022</t>
  </si>
  <si>
    <t xml:space="preserve">Ici l'enjeu est de différencier le matériel des logiciels et bien non-matériels. </t>
  </si>
  <si>
    <t>LBP</t>
  </si>
  <si>
    <t xml:space="preserve">Comptes BP+BA 2010-2024 </t>
  </si>
  <si>
    <t>Matériel Informatique</t>
  </si>
  <si>
    <t>Matériel de téléphonie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</si>
</sst>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0.00;[Red]0.00"/>
    <numFmt numFmtId="167" formatCode="0.0%"/>
    <numFmt numFmtId="168" formatCode="_-* #,##0_-;\-* #,##0_-;_-* &quot;-&quot;??_-;_-@_-"/>
    <numFmt numFmtId="169" formatCode="_-* #,##0.0\ _€_-;\-* #,##0.0\ _€_-;_-* &quot;-&quot;?\ _€_-;_-@_-"/>
    <numFmt numFmtId="170" formatCode="#,##0.00\ &quot;€&quot;"/>
    <numFmt numFmtId="171" formatCode="_-* #,##0.00\ _€_-;\-* #,##0.00\ _€_-;_-* &quot;-&quot;??\ _€_-;_-@_-"/>
    <numFmt numFmtId="172" formatCode="General&quot; (p)&quot;"/>
    <numFmt numFmtId="173" formatCode="##0.00E+0"/>
  </numFmts>
  <fonts count="97"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sz val="11"/>
      <color theme="3"/>
      <name val="Aptos Narrow"/>
      <family val="2"/>
      <scheme val="minor"/>
    </font>
    <font>
      <b/>
      <sz val="11"/>
      <color rgb="FF002060"/>
      <name val="Aptos Narrow"/>
      <family val="2"/>
      <scheme val="minor"/>
    </font>
    <font>
      <b/>
      <sz val="16"/>
      <color rgb="FF002060"/>
      <name val="Aptos Narrow"/>
      <family val="2"/>
      <scheme val="minor"/>
    </font>
    <font>
      <sz val="11"/>
      <color theme="1"/>
      <name val="Arial"/>
      <family val="2"/>
    </font>
    <font>
      <b/>
      <sz val="11"/>
      <name val="Aptos Narrow"/>
      <family val="2"/>
      <scheme val="minor"/>
    </font>
    <font>
      <sz val="11"/>
      <color theme="9" tint="-0.249977111117893"/>
      <name val="Aptos Narrow"/>
      <family val="2"/>
      <scheme val="minor"/>
    </font>
    <font>
      <i/>
      <sz val="11"/>
      <color theme="1"/>
      <name val="Arial"/>
      <family val="2"/>
    </font>
    <font>
      <sz val="14"/>
      <color rgb="FF000000"/>
      <name val="Times New Roman"/>
      <family val="1"/>
    </font>
    <font>
      <b/>
      <sz val="14"/>
      <color rgb="FF404041"/>
      <name val="Arial"/>
      <family val="2"/>
    </font>
    <font>
      <sz val="11"/>
      <color rgb="FF404041"/>
      <name val="Arial"/>
      <family val="2"/>
    </font>
    <font>
      <b/>
      <sz val="11"/>
      <color rgb="FF404041"/>
      <name val="Arial"/>
      <family val="2"/>
    </font>
    <font>
      <b/>
      <sz val="11"/>
      <color theme="1"/>
      <name val="Arial"/>
      <family val="2"/>
    </font>
    <font>
      <b/>
      <sz val="11"/>
      <color rgb="FFFF0000"/>
      <name val="Aptos Narrow"/>
      <family val="2"/>
      <scheme val="minor"/>
    </font>
    <font>
      <i/>
      <sz val="11"/>
      <color theme="1"/>
      <name val="Aptos Narrow"/>
      <family val="2"/>
      <scheme val="minor"/>
    </font>
    <font>
      <sz val="11"/>
      <name val="Aptos Narrow"/>
      <family val="2"/>
      <scheme val="minor"/>
    </font>
    <font>
      <sz val="11"/>
      <color theme="9"/>
      <name val="Aptos Narrow"/>
      <family val="2"/>
      <scheme val="minor"/>
    </font>
    <font>
      <sz val="11"/>
      <color rgb="FF0B4EA2"/>
      <name val="Aptos Narrow"/>
      <family val="2"/>
      <scheme val="minor"/>
    </font>
    <font>
      <sz val="11"/>
      <color theme="0" tint="-0.499984740745262"/>
      <name val="Aptos Narrow"/>
      <family val="2"/>
      <scheme val="minor"/>
    </font>
    <font>
      <u/>
      <sz val="11"/>
      <color theme="10"/>
      <name val="Aptos Narrow"/>
      <family val="2"/>
      <scheme val="minor"/>
    </font>
    <font>
      <sz val="9"/>
      <color rgb="FF000000"/>
      <name val="Arial"/>
      <family val="2"/>
    </font>
    <font>
      <sz val="10"/>
      <color theme="1"/>
      <name val="Calibri"/>
      <family val="2"/>
    </font>
    <font>
      <sz val="10"/>
      <color rgb="FF000000"/>
      <name val="Calibri"/>
      <family val="2"/>
    </font>
    <font>
      <sz val="10"/>
      <color theme="0"/>
      <name val="Calibri"/>
      <family val="2"/>
    </font>
    <font>
      <b/>
      <sz val="10"/>
      <color theme="1"/>
      <name val="Calibri"/>
      <family val="2"/>
    </font>
    <font>
      <sz val="10"/>
      <color rgb="FFFF0000"/>
      <name val="Calibri"/>
      <family val="2"/>
    </font>
    <font>
      <i/>
      <sz val="10"/>
      <color theme="1"/>
      <name val="Calibri"/>
      <family val="2"/>
    </font>
    <font>
      <sz val="10"/>
      <color theme="1"/>
      <name val="Aptos Narrow"/>
      <family val="2"/>
      <scheme val="minor"/>
    </font>
    <font>
      <sz val="10"/>
      <name val="Calibri"/>
      <family val="2"/>
    </font>
    <font>
      <i/>
      <sz val="11"/>
      <name val="Aptos Narrow"/>
      <family val="2"/>
      <scheme val="minor"/>
    </font>
    <font>
      <sz val="11"/>
      <color indexed="8"/>
      <name val="Calibri"/>
      <family val="2"/>
    </font>
    <font>
      <b/>
      <sz val="11"/>
      <color indexed="8"/>
      <name val="Calibri"/>
      <family val="2"/>
    </font>
    <font>
      <sz val="11"/>
      <color theme="8" tint="-0.499984740745262"/>
      <name val="Aptos Narrow"/>
      <family val="2"/>
      <scheme val="minor"/>
    </font>
    <font>
      <b/>
      <sz val="11"/>
      <color theme="0" tint="-0.499984740745262"/>
      <name val="Aptos Narrow"/>
      <family val="2"/>
      <scheme val="minor"/>
    </font>
    <font>
      <b/>
      <u/>
      <sz val="11"/>
      <color theme="1"/>
      <name val="Aptos Narrow"/>
      <family val="2"/>
      <scheme val="minor"/>
    </font>
    <font>
      <u/>
      <sz val="11"/>
      <color theme="1"/>
      <name val="Aptos Narrow"/>
      <family val="2"/>
      <scheme val="minor"/>
    </font>
    <font>
      <sz val="11"/>
      <color rgb="FF333333"/>
      <name val="Arial"/>
      <family val="2"/>
    </font>
    <font>
      <b/>
      <sz val="11"/>
      <color theme="4"/>
      <name val="Aptos Narrow"/>
      <family val="2"/>
      <scheme val="minor"/>
    </font>
    <font>
      <sz val="11"/>
      <name val="Arial"/>
      <family val="2"/>
    </font>
    <font>
      <sz val="11"/>
      <color rgb="FF000000"/>
      <name val="Arial"/>
      <family val="2"/>
    </font>
    <font>
      <b/>
      <sz val="10"/>
      <color theme="0"/>
      <name val="Verdana"/>
      <family val="2"/>
    </font>
    <font>
      <b/>
      <sz val="10"/>
      <color theme="1"/>
      <name val="Verdana"/>
      <family val="2"/>
    </font>
    <font>
      <b/>
      <sz val="10"/>
      <name val="Verdana"/>
      <family val="2"/>
    </font>
    <font>
      <sz val="10"/>
      <name val="Verdana"/>
      <family val="2"/>
    </font>
    <font>
      <sz val="10"/>
      <color theme="1"/>
      <name val="Verdana"/>
      <family val="2"/>
    </font>
    <font>
      <i/>
      <sz val="10"/>
      <color theme="1"/>
      <name val="Verdana"/>
      <family val="2"/>
    </font>
    <font>
      <b/>
      <sz val="10"/>
      <color rgb="FFFFFFFF"/>
      <name val="Verdana"/>
    </font>
    <font>
      <sz val="11"/>
      <color rgb="FFFF0000"/>
      <name val="Aptos Narrow"/>
      <family val="2"/>
      <scheme val="minor"/>
    </font>
    <font>
      <sz val="10"/>
      <name val="Arial"/>
      <family val="2"/>
    </font>
    <font>
      <sz val="11"/>
      <color theme="3" tint="0.499984740745262"/>
      <name val="Aptos Narrow"/>
      <family val="2"/>
      <scheme val="minor"/>
    </font>
    <font>
      <sz val="10"/>
      <color theme="3" tint="0.499984740745262"/>
      <name val="Verdana"/>
      <family val="2"/>
    </font>
    <font>
      <sz val="11"/>
      <color rgb="FF000000"/>
      <name val="Calibri"/>
      <family val="2"/>
    </font>
    <font>
      <b/>
      <sz val="9"/>
      <name val="Arial"/>
      <family val="2"/>
    </font>
    <font>
      <sz val="10"/>
      <color rgb="FF000000"/>
      <name val="Arial"/>
      <family val="2"/>
    </font>
    <font>
      <sz val="11"/>
      <color rgb="FF000000"/>
      <name val="Aptos Narrow"/>
      <family val="2"/>
    </font>
    <font>
      <sz val="11"/>
      <color rgb="FF404041"/>
      <name val="Helvetica"/>
    </font>
    <font>
      <i/>
      <sz val="10"/>
      <name val="Verdana"/>
      <family val="2"/>
    </font>
    <font>
      <sz val="11"/>
      <color theme="0"/>
      <name val="Aptos Narrow"/>
      <family val="2"/>
      <scheme val="minor"/>
    </font>
    <font>
      <b/>
      <sz val="14"/>
      <color theme="1"/>
      <name val="Aptos Narrow"/>
      <family val="2"/>
      <scheme val="minor"/>
    </font>
    <font>
      <b/>
      <sz val="14"/>
      <color theme="0"/>
      <name val="Aptos Narrow"/>
      <family val="2"/>
      <scheme val="minor"/>
    </font>
    <font>
      <b/>
      <i/>
      <sz val="11"/>
      <color rgb="FF002060"/>
      <name val="Aptos Narrow"/>
      <family val="2"/>
      <scheme val="minor"/>
    </font>
    <font>
      <b/>
      <sz val="11"/>
      <color rgb="FF002060"/>
      <name val="Arial"/>
      <family val="2"/>
    </font>
    <font>
      <u/>
      <sz val="11"/>
      <color theme="10"/>
      <name val="Arial"/>
      <family val="2"/>
    </font>
    <font>
      <b/>
      <sz val="11"/>
      <color theme="4"/>
      <name val="Arial"/>
      <family val="2"/>
    </font>
    <font>
      <u/>
      <sz val="11"/>
      <color theme="1"/>
      <name val="Arial"/>
      <family val="2"/>
    </font>
    <font>
      <b/>
      <sz val="11"/>
      <name val="Arial"/>
      <family val="2"/>
    </font>
    <font>
      <i/>
      <sz val="11"/>
      <name val="Arial"/>
      <family val="2"/>
    </font>
    <font>
      <sz val="11"/>
      <color rgb="FF000E1F"/>
      <name val="Arial"/>
      <family val="2"/>
    </font>
    <font>
      <sz val="8"/>
      <name val="Times New Roman"/>
      <family val="1"/>
    </font>
    <font>
      <sz val="11"/>
      <color theme="8"/>
      <name val="Aptos Narrow"/>
      <family val="2"/>
      <scheme val="minor"/>
    </font>
    <font>
      <u/>
      <sz val="11"/>
      <name val="Aptos Narrow"/>
      <family val="2"/>
      <scheme val="minor"/>
    </font>
    <font>
      <b/>
      <sz val="10"/>
      <name val="Arial"/>
      <charset val="1"/>
    </font>
    <font>
      <b/>
      <vertAlign val="superscript"/>
      <sz val="10"/>
      <name val="Arial"/>
      <charset val="1"/>
    </font>
    <font>
      <b/>
      <sz val="10"/>
      <name val="Arial"/>
      <family val="2"/>
      <charset val="1"/>
    </font>
    <font>
      <b/>
      <vertAlign val="superscript"/>
      <sz val="10"/>
      <name val="Arial"/>
      <family val="2"/>
      <charset val="1"/>
    </font>
    <font>
      <sz val="8"/>
      <name val="Arial"/>
      <family val="2"/>
      <charset val="1"/>
    </font>
    <font>
      <sz val="8"/>
      <name val="Arial"/>
      <charset val="1"/>
    </font>
    <font>
      <vertAlign val="superscript"/>
      <sz val="8"/>
      <name val="Arial"/>
      <charset val="1"/>
    </font>
    <font>
      <b/>
      <sz val="11"/>
      <name val="Verdana"/>
      <family val="2"/>
    </font>
    <font>
      <b/>
      <sz val="11"/>
      <color theme="0"/>
      <name val="Verdana"/>
      <family val="2"/>
    </font>
    <font>
      <b/>
      <sz val="11"/>
      <color theme="1"/>
      <name val="Verdana"/>
      <family val="2"/>
    </font>
    <font>
      <sz val="11"/>
      <name val="Verdana"/>
      <family val="2"/>
    </font>
    <font>
      <sz val="11"/>
      <color theme="1"/>
      <name val="Verdana"/>
      <family val="2"/>
    </font>
    <font>
      <i/>
      <sz val="11"/>
      <name val="Verdana"/>
      <family val="2"/>
    </font>
    <font>
      <i/>
      <sz val="11"/>
      <color theme="1"/>
      <name val="Verdana"/>
      <family val="2"/>
    </font>
    <font>
      <b/>
      <sz val="10"/>
      <color rgb="FF000000"/>
      <name val="Arial"/>
      <family val="2"/>
    </font>
    <font>
      <b/>
      <u/>
      <sz val="16"/>
      <color theme="1"/>
      <name val="Aptos Narrow"/>
      <family val="2"/>
      <scheme val="minor"/>
    </font>
    <font>
      <b/>
      <u/>
      <sz val="11"/>
      <color theme="9"/>
      <name val="Aptos Narrow"/>
      <family val="2"/>
      <scheme val="minor"/>
    </font>
    <font>
      <i/>
      <sz val="11"/>
      <color theme="4"/>
      <name val="Aptos Narrow"/>
      <family val="2"/>
      <scheme val="minor"/>
    </font>
    <font>
      <b/>
      <sz val="20"/>
      <color theme="0"/>
      <name val="Aptos Narrow"/>
      <family val="2"/>
      <scheme val="minor"/>
    </font>
    <font>
      <sz val="11"/>
      <color theme="4"/>
      <name val="Aptos Narrow"/>
      <family val="2"/>
      <scheme val="minor"/>
    </font>
    <font>
      <u/>
      <sz val="11"/>
      <color theme="0"/>
      <name val="Aptos Narrow"/>
      <family val="2"/>
      <scheme val="minor"/>
    </font>
    <font>
      <b/>
      <sz val="12"/>
      <color theme="1"/>
      <name val="Aptos Narrow"/>
      <family val="2"/>
      <scheme val="minor"/>
    </font>
    <font>
      <i/>
      <u/>
      <sz val="11"/>
      <color theme="1"/>
      <name val="Aptos Narrow"/>
      <family val="2"/>
      <scheme val="minor"/>
    </font>
  </fonts>
  <fills count="3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rgb="FFB3C1E1"/>
        <bgColor indexed="64"/>
      </patternFill>
    </fill>
    <fill>
      <patternFill patternType="solid">
        <fgColor rgb="FFF3D7AE"/>
        <bgColor indexed="64"/>
      </patternFill>
    </fill>
    <fill>
      <patternFill patternType="solid">
        <fgColor rgb="FFFFFF00"/>
        <bgColor indexed="64"/>
      </patternFill>
    </fill>
    <fill>
      <patternFill patternType="solid">
        <fgColor theme="0"/>
        <bgColor indexed="64"/>
      </patternFill>
    </fill>
    <fill>
      <patternFill patternType="solid">
        <fgColor theme="0"/>
        <bgColor rgb="FFFFFF00"/>
      </patternFill>
    </fill>
    <fill>
      <patternFill patternType="solid">
        <fgColor theme="7" tint="0.39997558519241921"/>
        <bgColor indexed="64"/>
      </patternFill>
    </fill>
    <fill>
      <patternFill patternType="solid">
        <fgColor theme="0"/>
        <bgColor theme="0"/>
      </patternFill>
    </fill>
    <fill>
      <patternFill patternType="solid">
        <fgColor theme="3" tint="0.749992370372631"/>
        <bgColor indexed="64"/>
      </patternFill>
    </fill>
    <fill>
      <patternFill patternType="solid">
        <fgColor theme="8" tint="0.79998168889431442"/>
        <bgColor indexed="64"/>
      </patternFill>
    </fill>
    <fill>
      <patternFill patternType="solid">
        <fgColor rgb="FFBFDAFB"/>
        <bgColor indexed="64"/>
      </patternFill>
    </fill>
    <fill>
      <patternFill patternType="solid">
        <fgColor theme="5" tint="0.79998168889431442"/>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5" tint="-0.249977111117893"/>
        <bgColor indexed="64"/>
      </patternFill>
    </fill>
    <fill>
      <patternFill patternType="solid">
        <fgColor rgb="FFFFFFFF"/>
        <bgColor rgb="FF000000"/>
      </patternFill>
    </fill>
    <fill>
      <patternFill patternType="solid">
        <fgColor theme="0"/>
        <bgColor rgb="FF000000"/>
      </patternFill>
    </fill>
    <fill>
      <patternFill patternType="solid">
        <fgColor theme="9" tint="0.39997558519241921"/>
        <bgColor indexed="64"/>
      </patternFill>
    </fill>
    <fill>
      <patternFill patternType="solid">
        <fgColor theme="4" tint="0.59999389629810485"/>
        <bgColor indexed="64"/>
      </patternFill>
    </fill>
    <fill>
      <patternFill patternType="solid">
        <fgColor theme="9" tint="-0.499984740745262"/>
        <bgColor indexed="64"/>
      </patternFill>
    </fill>
    <fill>
      <patternFill patternType="solid">
        <fgColor rgb="FFC00000"/>
        <bgColor indexed="64"/>
      </patternFill>
    </fill>
    <fill>
      <patternFill patternType="solid">
        <fgColor theme="2" tint="-0.249977111117893"/>
        <bgColor indexed="64"/>
      </patternFill>
    </fill>
    <fill>
      <patternFill patternType="solid">
        <fgColor rgb="FFBEBEBE"/>
        <bgColor rgb="FF000000"/>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bottom/>
      <diagonal/>
    </border>
    <border>
      <left/>
      <right/>
      <top/>
      <bottom style="medium">
        <color rgb="FF404041"/>
      </bottom>
      <diagonal/>
    </border>
    <border>
      <left/>
      <right style="thick">
        <color rgb="FFFFFFFF"/>
      </right>
      <top/>
      <bottom style="medium">
        <color rgb="FF404041"/>
      </bottom>
      <diagonal/>
    </border>
    <border>
      <left/>
      <right style="thick">
        <color rgb="FFFFFFFF"/>
      </right>
      <top/>
      <bottom/>
      <diagonal/>
    </border>
    <border>
      <left style="thick">
        <color rgb="FFFFFFFF"/>
      </left>
      <right/>
      <top/>
      <bottom style="medium">
        <color rgb="FF404041"/>
      </bottom>
      <diagonal/>
    </border>
    <border>
      <left style="thick">
        <color rgb="FFFFFFFF"/>
      </left>
      <right/>
      <top/>
      <bottom/>
      <diagonal/>
    </border>
    <border>
      <left/>
      <right/>
      <top style="medium">
        <color rgb="FF404041"/>
      </top>
      <bottom/>
      <diagonal/>
    </border>
    <border>
      <left/>
      <right style="thick">
        <color rgb="FFFFFFFF"/>
      </right>
      <top style="medium">
        <color rgb="FF404041"/>
      </top>
      <bottom/>
      <diagonal/>
    </border>
    <border>
      <left style="thick">
        <color rgb="FFFFFFFF"/>
      </left>
      <right/>
      <top style="medium">
        <color rgb="FF404041"/>
      </top>
      <bottom/>
      <diagonal/>
    </border>
    <border>
      <left/>
      <right/>
      <top style="thin">
        <color rgb="FF000000"/>
      </top>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style="medium">
        <color indexed="64"/>
      </left>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diagonal/>
    </border>
    <border>
      <left style="dotted">
        <color indexed="64"/>
      </left>
      <right style="medium">
        <color indexed="64"/>
      </right>
      <top/>
      <bottom/>
      <diagonal/>
    </border>
    <border>
      <left style="medium">
        <color indexed="64"/>
      </left>
      <right/>
      <top style="dotted">
        <color indexed="64"/>
      </top>
      <bottom/>
      <diagonal/>
    </border>
    <border>
      <left style="dotted">
        <color indexed="64"/>
      </left>
      <right style="medium">
        <color indexed="64"/>
      </right>
      <top style="dotted">
        <color indexed="64"/>
      </top>
      <bottom/>
      <diagonal/>
    </border>
    <border>
      <left style="medium">
        <color indexed="64"/>
      </left>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medium">
        <color indexed="64"/>
      </left>
      <right/>
      <top/>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medium">
        <color indexed="64"/>
      </left>
      <right/>
      <top/>
      <bottom style="dotted">
        <color indexed="64"/>
      </bottom>
      <diagonal/>
    </border>
    <border>
      <left style="dotted">
        <color indexed="64"/>
      </left>
      <right style="medium">
        <color indexed="64"/>
      </right>
      <top/>
      <bottom style="dotted">
        <color indexed="64"/>
      </bottom>
      <diagonal/>
    </border>
    <border>
      <left/>
      <right style="medium">
        <color indexed="64"/>
      </right>
      <top style="dotted">
        <color indexed="64"/>
      </top>
      <bottom/>
      <diagonal/>
    </border>
    <border>
      <left style="medium">
        <color indexed="64"/>
      </left>
      <right style="dotted">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dotted">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ck">
        <color rgb="FFFFFFFF"/>
      </right>
      <top style="thin">
        <color indexed="64"/>
      </top>
      <bottom/>
      <diagonal/>
    </border>
    <border>
      <left style="thick">
        <color rgb="FFFFFFFF"/>
      </left>
      <right/>
      <top style="thin">
        <color indexed="64"/>
      </top>
      <bottom/>
      <diagonal/>
    </border>
    <border>
      <left style="thin">
        <color indexed="64"/>
      </left>
      <right/>
      <top/>
      <bottom style="medium">
        <color rgb="FF404041"/>
      </bottom>
      <diagonal/>
    </border>
    <border>
      <left/>
      <right style="thin">
        <color indexed="64"/>
      </right>
      <top/>
      <bottom style="medium">
        <color rgb="FF404041"/>
      </bottom>
      <diagonal/>
    </border>
    <border>
      <left style="thin">
        <color indexed="64"/>
      </left>
      <right/>
      <top style="medium">
        <color rgb="FF404041"/>
      </top>
      <bottom/>
      <diagonal/>
    </border>
    <border>
      <left/>
      <right style="thin">
        <color indexed="64"/>
      </right>
      <top style="medium">
        <color rgb="FF404041"/>
      </top>
      <bottom/>
      <diagonal/>
    </border>
    <border>
      <left style="thin">
        <color indexed="64"/>
      </left>
      <right/>
      <top/>
      <bottom style="thin">
        <color rgb="FF000000"/>
      </bottom>
      <diagonal/>
    </border>
    <border>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22" fillId="0" borderId="0" applyNumberFormat="0" applyFill="0" applyBorder="0" applyAlignment="0" applyProtection="0"/>
    <xf numFmtId="43" fontId="1" fillId="0" borderId="0" applyFont="0" applyFill="0" applyBorder="0" applyAlignment="0" applyProtection="0"/>
    <xf numFmtId="0" fontId="51" fillId="0" borderId="0"/>
    <xf numFmtId="0" fontId="71" fillId="0" borderId="0"/>
  </cellStyleXfs>
  <cellXfs count="1363">
    <xf numFmtId="0" fontId="0" fillId="0" borderId="0" xfId="0"/>
    <xf numFmtId="0" fontId="3" fillId="0" borderId="0" xfId="0" applyFont="1" applyAlignment="1">
      <alignment vertical="center"/>
    </xf>
    <xf numFmtId="0" fontId="0" fillId="0" borderId="0" xfId="0" applyAlignment="1">
      <alignment vertical="center"/>
    </xf>
    <xf numFmtId="0" fontId="0" fillId="2" borderId="4" xfId="0" applyFill="1" applyBorder="1" applyAlignment="1">
      <alignment horizontal="left" vertical="center" indent="1"/>
    </xf>
    <xf numFmtId="0" fontId="0" fillId="2" borderId="5" xfId="0" applyFill="1" applyBorder="1" applyAlignment="1">
      <alignment vertical="center"/>
    </xf>
    <xf numFmtId="0" fontId="0" fillId="2" borderId="6" xfId="0" applyFill="1" applyBorder="1" applyAlignment="1">
      <alignment vertical="center"/>
    </xf>
    <xf numFmtId="0" fontId="4" fillId="0" borderId="0" xfId="0" applyFont="1" applyAlignment="1">
      <alignment horizontal="center"/>
    </xf>
    <xf numFmtId="0" fontId="5" fillId="0" borderId="0" xfId="0" applyFont="1"/>
    <xf numFmtId="0" fontId="0" fillId="3" borderId="0" xfId="0" applyFill="1"/>
    <xf numFmtId="0" fontId="6" fillId="3" borderId="0" xfId="0" applyFont="1" applyFill="1"/>
    <xf numFmtId="3" fontId="0" fillId="3" borderId="0" xfId="0" applyNumberFormat="1" applyFill="1"/>
    <xf numFmtId="0" fontId="2" fillId="2" borderId="7" xfId="0" applyFont="1" applyFill="1" applyBorder="1" applyAlignment="1">
      <alignment horizont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left" vertical="center" indent="1"/>
    </xf>
    <xf numFmtId="0" fontId="2" fillId="0" borderId="0" xfId="0" applyFont="1"/>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9" xfId="0" applyBorder="1" applyAlignment="1">
      <alignment horizontal="left" vertical="center" indent="1"/>
    </xf>
    <xf numFmtId="0" fontId="0" fillId="0" borderId="10" xfId="0" applyBorder="1" applyAlignment="1">
      <alignment vertical="center"/>
    </xf>
    <xf numFmtId="0" fontId="0" fillId="0" borderId="10" xfId="0" quotePrefix="1"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quotePrefix="1" applyAlignment="1">
      <alignment vertical="center"/>
    </xf>
    <xf numFmtId="0" fontId="0" fillId="0" borderId="12" xfId="0" applyBorder="1" applyAlignment="1">
      <alignment vertical="center"/>
    </xf>
    <xf numFmtId="0" fontId="0" fillId="0" borderId="13" xfId="0" applyBorder="1" applyAlignment="1">
      <alignment vertical="center"/>
    </xf>
    <xf numFmtId="2" fontId="0" fillId="0" borderId="2" xfId="0" applyNumberFormat="1" applyBorder="1"/>
    <xf numFmtId="0" fontId="0" fillId="0" borderId="3" xfId="0" applyBorder="1"/>
    <xf numFmtId="2" fontId="0" fillId="0" borderId="8" xfId="0" applyNumberFormat="1" applyBorder="1"/>
    <xf numFmtId="0" fontId="0" fillId="0" borderId="12" xfId="0" applyBorder="1"/>
    <xf numFmtId="2" fontId="0" fillId="0" borderId="10" xfId="0" applyNumberFormat="1" applyBorder="1"/>
    <xf numFmtId="0" fontId="0" fillId="0" borderId="13" xfId="0" applyBorder="1"/>
    <xf numFmtId="0" fontId="0" fillId="0" borderId="12" xfId="0" applyBorder="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0" fillId="0" borderId="0" xfId="0" applyAlignment="1">
      <alignment horizontal="left" vertical="center"/>
    </xf>
    <xf numFmtId="0" fontId="2" fillId="0" borderId="9" xfId="0" applyFont="1" applyBorder="1" applyAlignment="1">
      <alignment horizontal="left" vertical="center" indent="1"/>
    </xf>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13" xfId="0" quotePrefix="1" applyFont="1" applyBorder="1" applyAlignment="1">
      <alignment vertical="center"/>
    </xf>
    <xf numFmtId="0" fontId="0" fillId="0" borderId="10"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 fontId="0" fillId="0" borderId="8" xfId="0" applyNumberFormat="1" applyBorder="1" applyAlignment="1">
      <alignment horizontal="center" vertical="center"/>
    </xf>
    <xf numFmtId="3" fontId="2" fillId="0" borderId="9" xfId="0" applyNumberFormat="1" applyFont="1" applyBorder="1" applyAlignment="1">
      <alignment horizontal="center" vertical="center"/>
    </xf>
    <xf numFmtId="3" fontId="2" fillId="0" borderId="10" xfId="0" applyNumberFormat="1" applyFont="1" applyBorder="1" applyAlignment="1">
      <alignment horizontal="center" vertical="center"/>
    </xf>
    <xf numFmtId="3" fontId="0" fillId="0" borderId="12" xfId="0" applyNumberFormat="1" applyBorder="1" applyAlignment="1">
      <alignment horizontal="center" vertical="center"/>
    </xf>
    <xf numFmtId="2" fontId="0" fillId="0" borderId="12" xfId="0" applyNumberFormat="1" applyBorder="1"/>
    <xf numFmtId="0" fontId="6" fillId="0" borderId="0" xfId="0" applyFont="1"/>
    <xf numFmtId="3" fontId="0" fillId="0" borderId="0" xfId="0" applyNumberFormat="1"/>
    <xf numFmtId="0" fontId="7" fillId="0" borderId="8" xfId="0" applyFont="1" applyBorder="1" applyAlignment="1">
      <alignment horizontal="left" vertical="center" indent="1"/>
    </xf>
    <xf numFmtId="0" fontId="7" fillId="0" borderId="9" xfId="0" applyFont="1" applyBorder="1" applyAlignment="1">
      <alignment horizontal="left" vertical="center" indent="1"/>
    </xf>
    <xf numFmtId="0" fontId="8" fillId="0" borderId="0" xfId="0" applyFont="1" applyAlignment="1">
      <alignment vertical="center"/>
    </xf>
    <xf numFmtId="0" fontId="0" fillId="0" borderId="2" xfId="0" quotePrefix="1" applyBorder="1" applyAlignment="1">
      <alignment vertical="center"/>
    </xf>
    <xf numFmtId="0" fontId="2" fillId="0" borderId="0" xfId="0" applyFont="1" applyAlignment="1">
      <alignment horizontal="center"/>
    </xf>
    <xf numFmtId="164" fontId="0" fillId="0" borderId="2" xfId="0" applyNumberFormat="1" applyBorder="1" applyAlignment="1">
      <alignment horizontal="center" vertical="center"/>
    </xf>
    <xf numFmtId="0" fontId="0" fillId="0" borderId="8" xfId="0" applyBorder="1" applyAlignment="1">
      <alignment horizontal="left" vertical="center"/>
    </xf>
    <xf numFmtId="0" fontId="0" fillId="0" borderId="1" xfId="0" applyBorder="1" applyAlignment="1">
      <alignment horizontal="left" vertical="center"/>
    </xf>
    <xf numFmtId="0" fontId="2" fillId="0" borderId="4" xfId="0" applyFont="1" applyBorder="1"/>
    <xf numFmtId="0" fontId="0" fillId="0" borderId="5" xfId="0" applyBorder="1"/>
    <xf numFmtId="0" fontId="0" fillId="0" borderId="6" xfId="0" applyBorder="1"/>
    <xf numFmtId="0" fontId="0" fillId="0" borderId="4" xfId="0" applyBorder="1"/>
    <xf numFmtId="0" fontId="2" fillId="0" borderId="9" xfId="0" applyFont="1" applyBorder="1" applyAlignment="1">
      <alignment vertical="center"/>
    </xf>
    <xf numFmtId="0" fontId="2" fillId="0" borderId="13" xfId="0" applyFont="1" applyBorder="1" applyAlignment="1">
      <alignment vertical="center"/>
    </xf>
    <xf numFmtId="3" fontId="0" fillId="0" borderId="2" xfId="0" applyNumberFormat="1" applyBorder="1" applyAlignment="1">
      <alignment horizontal="right" vertical="center" indent="1"/>
    </xf>
    <xf numFmtId="3" fontId="0" fillId="0" borderId="2" xfId="0" applyNumberFormat="1" applyBorder="1" applyAlignment="1">
      <alignment horizontal="center" vertical="center"/>
    </xf>
    <xf numFmtId="0" fontId="9" fillId="0" borderId="0" xfId="0" applyFont="1" applyAlignment="1">
      <alignment vertical="center"/>
    </xf>
    <xf numFmtId="0" fontId="9" fillId="0" borderId="0" xfId="0" applyFont="1"/>
    <xf numFmtId="0" fontId="0" fillId="0" borderId="1" xfId="0" applyBorder="1"/>
    <xf numFmtId="0" fontId="0" fillId="0" borderId="2" xfId="0" applyBorder="1"/>
    <xf numFmtId="0" fontId="0" fillId="0" borderId="8" xfId="0" applyBorder="1"/>
    <xf numFmtId="0" fontId="0" fillId="0" borderId="8" xfId="0" applyBorder="1" applyAlignment="1">
      <alignment vertical="center"/>
    </xf>
    <xf numFmtId="0" fontId="10" fillId="0" borderId="8" xfId="0" applyFont="1" applyBorder="1" applyAlignment="1">
      <alignment horizontal="left" vertical="center" indent="1"/>
    </xf>
    <xf numFmtId="0" fontId="2" fillId="0" borderId="4" xfId="0" applyFont="1" applyBorder="1" applyAlignment="1">
      <alignment vertical="center"/>
    </xf>
    <xf numFmtId="0" fontId="2" fillId="0" borderId="5" xfId="0" applyFont="1" applyBorder="1" applyAlignment="1">
      <alignment vertical="center"/>
    </xf>
    <xf numFmtId="0" fontId="11" fillId="0" borderId="0" xfId="0" applyFont="1"/>
    <xf numFmtId="0" fontId="0" fillId="8" borderId="19" xfId="0" applyFill="1" applyBorder="1" applyAlignment="1">
      <alignment vertical="center" wrapText="1"/>
    </xf>
    <xf numFmtId="0" fontId="0" fillId="8" borderId="19" xfId="0" applyFill="1" applyBorder="1" applyAlignment="1">
      <alignment vertical="top" wrapText="1"/>
    </xf>
    <xf numFmtId="0" fontId="13" fillId="8" borderId="19" xfId="0" applyFont="1" applyFill="1" applyBorder="1" applyAlignment="1">
      <alignment horizontal="center" vertical="center" wrapText="1"/>
    </xf>
    <xf numFmtId="0" fontId="0" fillId="0" borderId="0" xfId="0" applyAlignment="1">
      <alignment horizontal="center"/>
    </xf>
    <xf numFmtId="0" fontId="3" fillId="0" borderId="11" xfId="0" applyFont="1" applyBorder="1" applyAlignment="1">
      <alignment horizontal="center" vertical="center" textRotation="90"/>
    </xf>
    <xf numFmtId="0" fontId="13" fillId="6"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0" fillId="0" borderId="2" xfId="0" applyBorder="1" applyAlignment="1">
      <alignment horizontal="left" vertical="center"/>
    </xf>
    <xf numFmtId="0" fontId="8" fillId="0" borderId="1" xfId="0" applyFont="1" applyBorder="1" applyAlignment="1">
      <alignment horizontal="left" vertical="center" indent="1"/>
    </xf>
    <xf numFmtId="0" fontId="8" fillId="0" borderId="2" xfId="0" applyFont="1" applyBorder="1"/>
    <xf numFmtId="0" fontId="8" fillId="0" borderId="9" xfId="0" applyFont="1" applyBorder="1" applyAlignment="1">
      <alignment horizontal="left" vertical="center" indent="1"/>
    </xf>
    <xf numFmtId="0" fontId="8" fillId="0" borderId="10" xfId="0" applyFont="1" applyBorder="1"/>
    <xf numFmtId="0" fontId="0" fillId="0" borderId="7" xfId="0" applyBorder="1"/>
    <xf numFmtId="0" fontId="0" fillId="0" borderId="14" xfId="0" applyBorder="1"/>
    <xf numFmtId="0" fontId="0" fillId="0" borderId="24" xfId="0" applyBorder="1"/>
    <xf numFmtId="0" fontId="16" fillId="0" borderId="0" xfId="0" applyFont="1" applyAlignment="1">
      <alignment horizontal="center"/>
    </xf>
    <xf numFmtId="0" fontId="8" fillId="0" borderId="3" xfId="0" applyFont="1" applyBorder="1"/>
    <xf numFmtId="0" fontId="8" fillId="0" borderId="13" xfId="0" applyFont="1" applyBorder="1"/>
    <xf numFmtId="0" fontId="0" fillId="0" borderId="9" xfId="0" applyBorder="1"/>
    <xf numFmtId="0" fontId="0" fillId="0" borderId="10" xfId="0" applyBorder="1"/>
    <xf numFmtId="0" fontId="7" fillId="6" borderId="6" xfId="0" applyFont="1" applyFill="1" applyBorder="1" applyAlignment="1">
      <alignment horizontal="center" vertical="center" wrapText="1"/>
    </xf>
    <xf numFmtId="14" fontId="0" fillId="0" borderId="0" xfId="0" applyNumberFormat="1" applyAlignment="1">
      <alignment horizontal="left"/>
    </xf>
    <xf numFmtId="0" fontId="17" fillId="0" borderId="0" xfId="0" applyFont="1" applyAlignment="1">
      <alignment horizontal="center" vertical="center"/>
    </xf>
    <xf numFmtId="0" fontId="18" fillId="0" borderId="0" xfId="0" applyFont="1"/>
    <xf numFmtId="0" fontId="2" fillId="0" borderId="11" xfId="0" applyFont="1" applyBorder="1"/>
    <xf numFmtId="0" fontId="0" fillId="10" borderId="4" xfId="0" applyFill="1" applyBorder="1"/>
    <xf numFmtId="0" fontId="0" fillId="10" borderId="11" xfId="0" applyFill="1" applyBorder="1"/>
    <xf numFmtId="0" fontId="0" fillId="10" borderId="8" xfId="0" applyFill="1" applyBorder="1"/>
    <xf numFmtId="0" fontId="0" fillId="10" borderId="14" xfId="0" applyFill="1" applyBorder="1"/>
    <xf numFmtId="0" fontId="0" fillId="10" borderId="9" xfId="0" applyFill="1" applyBorder="1"/>
    <xf numFmtId="0" fontId="0" fillId="10" borderId="24" xfId="0" applyFill="1" applyBorder="1"/>
    <xf numFmtId="0" fontId="0" fillId="10" borderId="1" xfId="0" applyFill="1" applyBorder="1"/>
    <xf numFmtId="0" fontId="0" fillId="10" borderId="7" xfId="0" applyFill="1" applyBorder="1"/>
    <xf numFmtId="0" fontId="9" fillId="0" borderId="0" xfId="0" applyFont="1" applyAlignment="1">
      <alignment horizontal="left" vertical="center"/>
    </xf>
    <xf numFmtId="0" fontId="0" fillId="0" borderId="0" xfId="0" applyAlignment="1">
      <alignment horizontal="left" vertical="center" indent="1"/>
    </xf>
    <xf numFmtId="0" fontId="0" fillId="0" borderId="0" xfId="0" applyAlignment="1">
      <alignment horizontal="left" vertical="top"/>
    </xf>
    <xf numFmtId="0" fontId="20" fillId="0" borderId="0" xfId="0" applyFont="1" applyAlignment="1">
      <alignment vertical="center"/>
    </xf>
    <xf numFmtId="0" fontId="19" fillId="0" borderId="0" xfId="0" applyFont="1" applyAlignment="1">
      <alignment vertical="center"/>
    </xf>
    <xf numFmtId="14" fontId="0" fillId="0" borderId="0" xfId="0" applyNumberFormat="1"/>
    <xf numFmtId="0" fontId="0" fillId="0" borderId="4"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3" fontId="0" fillId="4" borderId="7" xfId="0" applyNumberFormat="1" applyFill="1" applyBorder="1" applyAlignment="1">
      <alignment horizontal="center" vertical="center"/>
    </xf>
    <xf numFmtId="3" fontId="0" fillId="4" borderId="14" xfId="0" applyNumberFormat="1" applyFill="1" applyBorder="1" applyAlignment="1">
      <alignment horizontal="center" vertical="center"/>
    </xf>
    <xf numFmtId="3" fontId="0" fillId="4" borderId="24" xfId="0" applyNumberFormat="1" applyFill="1" applyBorder="1" applyAlignment="1">
      <alignment horizontal="center" vertical="center"/>
    </xf>
    <xf numFmtId="0" fontId="0" fillId="0" borderId="11" xfId="0" applyBorder="1" applyAlignment="1">
      <alignment horizontal="center" vertical="center"/>
    </xf>
    <xf numFmtId="3" fontId="0" fillId="5" borderId="14" xfId="0" applyNumberFormat="1" applyFill="1" applyBorder="1" applyAlignment="1">
      <alignment horizontal="center" vertical="center"/>
    </xf>
    <xf numFmtId="0" fontId="18" fillId="0" borderId="4" xfId="0" applyFont="1" applyBorder="1" applyAlignment="1">
      <alignmen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0" xfId="0" applyFont="1"/>
    <xf numFmtId="0" fontId="8" fillId="0" borderId="12" xfId="0" applyFont="1" applyBorder="1"/>
    <xf numFmtId="0" fontId="8" fillId="0" borderId="9" xfId="0" applyFont="1" applyBorder="1" applyAlignment="1">
      <alignment horizontal="left" vertical="center"/>
    </xf>
    <xf numFmtId="9" fontId="0" fillId="0" borderId="8" xfId="1" applyFont="1" applyBorder="1"/>
    <xf numFmtId="9" fontId="0" fillId="0" borderId="0" xfId="1" applyFont="1" applyBorder="1"/>
    <xf numFmtId="9" fontId="0" fillId="0" borderId="12" xfId="1" applyFont="1" applyBorder="1"/>
    <xf numFmtId="9" fontId="0" fillId="0" borderId="9" xfId="1" applyFont="1" applyBorder="1"/>
    <xf numFmtId="9" fontId="0" fillId="0" borderId="10" xfId="1" applyFont="1" applyBorder="1"/>
    <xf numFmtId="9" fontId="0" fillId="0" borderId="13" xfId="1" applyFont="1" applyBorder="1"/>
    <xf numFmtId="0" fontId="22" fillId="0" borderId="0" xfId="2"/>
    <xf numFmtId="0" fontId="23" fillId="0" borderId="0" xfId="0" applyFont="1"/>
    <xf numFmtId="0" fontId="24" fillId="10" borderId="8" xfId="0" applyFont="1" applyFill="1" applyBorder="1" applyAlignment="1">
      <alignment horizontal="left" vertical="center" wrapText="1"/>
    </xf>
    <xf numFmtId="0" fontId="24" fillId="10" borderId="12" xfId="0" applyFont="1" applyFill="1" applyBorder="1" applyAlignment="1">
      <alignment vertical="center" wrapText="1"/>
    </xf>
    <xf numFmtId="0" fontId="24" fillId="10" borderId="3" xfId="0" applyFont="1" applyFill="1" applyBorder="1" applyAlignment="1">
      <alignment vertical="center" wrapText="1"/>
    </xf>
    <xf numFmtId="0" fontId="29" fillId="10" borderId="12" xfId="0" applyFont="1" applyFill="1" applyBorder="1" applyAlignment="1">
      <alignment vertical="center" wrapText="1"/>
    </xf>
    <xf numFmtId="0" fontId="25" fillId="10" borderId="12" xfId="0" applyFont="1" applyFill="1" applyBorder="1" applyAlignment="1">
      <alignment vertical="center" wrapText="1"/>
    </xf>
    <xf numFmtId="0" fontId="24" fillId="10" borderId="9" xfId="0" applyFont="1" applyFill="1" applyBorder="1" applyAlignment="1">
      <alignment horizontal="left" vertical="center" wrapText="1"/>
    </xf>
    <xf numFmtId="0" fontId="24" fillId="10" borderId="10" xfId="0" applyFont="1" applyFill="1" applyBorder="1" applyAlignment="1">
      <alignment horizontal="left" vertical="center" wrapText="1"/>
    </xf>
    <xf numFmtId="0" fontId="24" fillId="10" borderId="10" xfId="0" applyFont="1" applyFill="1" applyBorder="1" applyAlignment="1">
      <alignment vertical="center" wrapText="1"/>
    </xf>
    <xf numFmtId="9" fontId="24" fillId="10" borderId="10" xfId="0" applyNumberFormat="1" applyFont="1" applyFill="1" applyBorder="1" applyAlignment="1">
      <alignment horizontal="center" vertical="center" wrapText="1"/>
    </xf>
    <xf numFmtId="0" fontId="31" fillId="10" borderId="10" xfId="0" applyFont="1" applyFill="1" applyBorder="1" applyAlignment="1">
      <alignment horizontal="left" vertical="center" wrapText="1"/>
    </xf>
    <xf numFmtId="0" fontId="24" fillId="10" borderId="13" xfId="0" applyFont="1" applyFill="1" applyBorder="1" applyAlignment="1">
      <alignment vertical="center" wrapText="1"/>
    </xf>
    <xf numFmtId="0" fontId="24" fillId="10" borderId="1" xfId="0" applyFont="1" applyFill="1" applyBorder="1" applyAlignment="1">
      <alignment horizontal="left" vertical="center" wrapText="1"/>
    </xf>
    <xf numFmtId="0" fontId="24" fillId="10" borderId="2" xfId="0" applyFont="1" applyFill="1" applyBorder="1" applyAlignment="1">
      <alignment horizontal="left" vertical="center" wrapText="1"/>
    </xf>
    <xf numFmtId="9" fontId="24" fillId="10" borderId="2" xfId="0" applyNumberFormat="1" applyFont="1" applyFill="1" applyBorder="1" applyAlignment="1">
      <alignment horizontal="center" vertical="center" wrapText="1"/>
    </xf>
    <xf numFmtId="0" fontId="24" fillId="10" borderId="2" xfId="0" applyFont="1" applyFill="1" applyBorder="1" applyAlignment="1">
      <alignment vertical="center" wrapText="1"/>
    </xf>
    <xf numFmtId="0" fontId="24" fillId="10" borderId="0" xfId="0" applyFont="1" applyFill="1" applyAlignment="1">
      <alignment horizontal="left" vertical="center" wrapText="1"/>
    </xf>
    <xf numFmtId="0" fontId="25" fillId="10" borderId="0" xfId="0" applyFont="1" applyFill="1" applyAlignment="1">
      <alignment horizontal="left" vertical="center" wrapText="1"/>
    </xf>
    <xf numFmtId="0" fontId="24" fillId="10" borderId="4" xfId="0" applyFont="1" applyFill="1" applyBorder="1" applyAlignment="1">
      <alignment horizontal="left" vertical="center" wrapText="1"/>
    </xf>
    <xf numFmtId="0" fontId="24" fillId="10" borderId="5" xfId="0" applyFont="1" applyFill="1" applyBorder="1" applyAlignment="1">
      <alignment horizontal="left" vertical="center" wrapText="1"/>
    </xf>
    <xf numFmtId="0" fontId="25" fillId="10" borderId="5" xfId="0" applyFont="1" applyFill="1" applyBorder="1" applyAlignment="1">
      <alignment vertical="center" wrapText="1"/>
    </xf>
    <xf numFmtId="9" fontId="24" fillId="10" borderId="5" xfId="0" applyNumberFormat="1" applyFont="1" applyFill="1" applyBorder="1" applyAlignment="1">
      <alignment horizontal="center" vertical="center" wrapText="1"/>
    </xf>
    <xf numFmtId="0" fontId="28" fillId="11" borderId="5" xfId="0" applyFont="1" applyFill="1" applyBorder="1" applyAlignment="1">
      <alignment horizontal="left" vertical="center" wrapText="1"/>
    </xf>
    <xf numFmtId="0" fontId="25" fillId="10" borderId="6" xfId="0" applyFont="1" applyFill="1" applyBorder="1" applyAlignment="1">
      <alignment vertical="center" wrapText="1"/>
    </xf>
    <xf numFmtId="0" fontId="24" fillId="10" borderId="5" xfId="0" applyFont="1" applyFill="1" applyBorder="1" applyAlignment="1">
      <alignment vertical="center" wrapText="1"/>
    </xf>
    <xf numFmtId="0" fontId="31" fillId="10" borderId="5" xfId="0" applyFont="1" applyFill="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textRotation="90"/>
    </xf>
    <xf numFmtId="0" fontId="13" fillId="0" borderId="0" xfId="0" applyFont="1" applyAlignment="1">
      <alignment horizontal="left" vertical="center" wrapText="1"/>
    </xf>
    <xf numFmtId="0" fontId="0" fillId="14" borderId="1" xfId="0" applyFill="1" applyBorder="1" applyAlignment="1">
      <alignment horizontal="center" vertical="center"/>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2" fontId="0" fillId="0" borderId="0" xfId="0" applyNumberFormat="1"/>
    <xf numFmtId="3" fontId="0" fillId="0" borderId="0" xfId="0" applyNumberFormat="1" applyAlignment="1">
      <alignment horizontal="center" vertical="center"/>
    </xf>
    <xf numFmtId="1" fontId="0" fillId="0" borderId="0" xfId="0" applyNumberFormat="1" applyAlignment="1">
      <alignment horizontal="right" vertical="center" indent="1"/>
    </xf>
    <xf numFmtId="9" fontId="0" fillId="0" borderId="0" xfId="1" applyFont="1" applyBorder="1" applyAlignment="1">
      <alignment horizontal="right" vertical="center" indent="1"/>
    </xf>
    <xf numFmtId="1" fontId="0" fillId="0" borderId="8" xfId="0" applyNumberFormat="1" applyBorder="1" applyAlignment="1">
      <alignment horizontal="right" vertical="center" indent="1"/>
    </xf>
    <xf numFmtId="1" fontId="0" fillId="0" borderId="12" xfId="0" applyNumberFormat="1" applyBorder="1" applyAlignment="1">
      <alignment horizontal="right" vertical="center" indent="1"/>
    </xf>
    <xf numFmtId="0" fontId="0" fillId="0" borderId="8" xfId="0" applyBorder="1" applyAlignment="1">
      <alignment horizontal="center" vertical="center"/>
    </xf>
    <xf numFmtId="0" fontId="0" fillId="0" borderId="12" xfId="0" applyBorder="1" applyAlignment="1">
      <alignment horizontal="center" vertical="center"/>
    </xf>
    <xf numFmtId="9" fontId="0" fillId="0" borderId="8" xfId="1" applyFont="1" applyFill="1" applyBorder="1" applyAlignment="1">
      <alignment horizontal="right" vertical="center" indent="1"/>
    </xf>
    <xf numFmtId="9" fontId="0" fillId="0" borderId="12" xfId="1" applyFont="1" applyFill="1" applyBorder="1" applyAlignment="1">
      <alignment horizontal="right" vertical="center" indent="1"/>
    </xf>
    <xf numFmtId="9" fontId="0" fillId="0" borderId="9" xfId="1" applyFont="1" applyFill="1" applyBorder="1" applyAlignment="1">
      <alignment horizontal="right" vertical="center" indent="1"/>
    </xf>
    <xf numFmtId="9" fontId="0" fillId="0" borderId="10" xfId="1" applyFont="1" applyBorder="1" applyAlignment="1">
      <alignment horizontal="right" vertical="center" indent="1"/>
    </xf>
    <xf numFmtId="9" fontId="0" fillId="0" borderId="13" xfId="1" applyFont="1" applyFill="1" applyBorder="1" applyAlignment="1">
      <alignment horizontal="right" vertical="center" indent="1"/>
    </xf>
    <xf numFmtId="3" fontId="2" fillId="0" borderId="13" xfId="0" applyNumberFormat="1" applyFont="1" applyBorder="1" applyAlignment="1">
      <alignment horizontal="center"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3" fontId="0" fillId="5" borderId="0" xfId="0" applyNumberFormat="1" applyFill="1" applyAlignment="1">
      <alignment horizontal="center" vertical="center"/>
    </xf>
    <xf numFmtId="3" fontId="0" fillId="0" borderId="0" xfId="0" applyNumberFormat="1" applyAlignment="1">
      <alignment horizontal="right" vertical="center" indent="1"/>
    </xf>
    <xf numFmtId="3" fontId="0" fillId="0" borderId="1" xfId="0" applyNumberFormat="1" applyBorder="1" applyAlignment="1">
      <alignment horizontal="center" vertical="center"/>
    </xf>
    <xf numFmtId="3" fontId="0" fillId="5" borderId="8" xfId="0" applyNumberFormat="1" applyFill="1" applyBorder="1" applyAlignment="1">
      <alignment horizontal="center" vertical="center"/>
    </xf>
    <xf numFmtId="3" fontId="0" fillId="5" borderId="12" xfId="0" applyNumberFormat="1" applyFill="1" applyBorder="1" applyAlignment="1">
      <alignment horizontal="center" vertical="center"/>
    </xf>
    <xf numFmtId="165" fontId="0" fillId="0" borderId="0" xfId="1" applyNumberFormat="1" applyFont="1" applyFill="1" applyBorder="1" applyAlignment="1">
      <alignment horizontal="right" vertical="center" indent="1"/>
    </xf>
    <xf numFmtId="2" fontId="0" fillId="0" borderId="8" xfId="0" applyNumberFormat="1" applyBorder="1" applyAlignment="1">
      <alignment vertical="center"/>
    </xf>
    <xf numFmtId="2" fontId="0" fillId="0" borderId="0" xfId="0" applyNumberFormat="1" applyAlignment="1">
      <alignment vertical="center"/>
    </xf>
    <xf numFmtId="2" fontId="0" fillId="0" borderId="10" xfId="0" applyNumberFormat="1" applyBorder="1" applyAlignment="1">
      <alignment horizontal="center" vertical="center"/>
    </xf>
    <xf numFmtId="2" fontId="0" fillId="0" borderId="1" xfId="0" applyNumberFormat="1" applyBorder="1" applyAlignment="1">
      <alignment vertical="center"/>
    </xf>
    <xf numFmtId="2" fontId="0" fillId="0" borderId="2" xfId="0" applyNumberFormat="1" applyBorder="1" applyAlignment="1">
      <alignment vertical="center"/>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12" xfId="0" applyNumberFormat="1" applyBorder="1" applyAlignment="1">
      <alignment horizontal="center"/>
    </xf>
    <xf numFmtId="2" fontId="0" fillId="0" borderId="10" xfId="0" applyNumberFormat="1" applyBorder="1" applyAlignment="1">
      <alignment horizontal="center"/>
    </xf>
    <xf numFmtId="2" fontId="0" fillId="0" borderId="13" xfId="0" applyNumberFormat="1" applyBorder="1" applyAlignment="1">
      <alignment horizontal="center"/>
    </xf>
    <xf numFmtId="2" fontId="0" fillId="0" borderId="2" xfId="0" applyNumberFormat="1" applyBorder="1" applyAlignment="1">
      <alignment horizontal="right" vertical="center" indent="1"/>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2" fontId="0" fillId="4" borderId="12" xfId="0" applyNumberFormat="1" applyFill="1" applyBorder="1" applyAlignment="1">
      <alignment horizontal="right" vertical="center" indent="1"/>
    </xf>
    <xf numFmtId="2" fontId="0" fillId="0" borderId="5" xfId="1" applyNumberFormat="1" applyFont="1" applyBorder="1" applyAlignment="1">
      <alignment horizontal="right" vertical="center" indent="1"/>
    </xf>
    <xf numFmtId="2" fontId="0" fillId="0" borderId="6" xfId="1" applyNumberFormat="1" applyFont="1" applyBorder="1" applyAlignment="1">
      <alignment horizontal="right" vertical="center" indent="1"/>
    </xf>
    <xf numFmtId="2" fontId="0" fillId="0" borderId="0" xfId="0" applyNumberFormat="1" applyAlignment="1">
      <alignment horizontal="right" vertical="center" indent="1"/>
    </xf>
    <xf numFmtId="2" fontId="0" fillId="5" borderId="0" xfId="0" applyNumberFormat="1" applyFill="1" applyAlignment="1">
      <alignment horizontal="right" vertical="center" indent="1"/>
    </xf>
    <xf numFmtId="2" fontId="0" fillId="4" borderId="0" xfId="0" applyNumberFormat="1" applyFill="1" applyAlignment="1">
      <alignment horizontal="right" vertical="center" indent="1"/>
    </xf>
    <xf numFmtId="2" fontId="2" fillId="0" borderId="9" xfId="0" applyNumberFormat="1" applyFont="1" applyBorder="1" applyAlignment="1">
      <alignment vertical="center"/>
    </xf>
    <xf numFmtId="2" fontId="2" fillId="0" borderId="10" xfId="0" applyNumberFormat="1" applyFont="1" applyBorder="1" applyAlignment="1">
      <alignment vertical="center"/>
    </xf>
    <xf numFmtId="2" fontId="2" fillId="0" borderId="10" xfId="0" applyNumberFormat="1" applyFont="1" applyBorder="1" applyAlignment="1">
      <alignment horizontal="right" vertical="center" indent="1"/>
    </xf>
    <xf numFmtId="2" fontId="2" fillId="0" borderId="13" xfId="0" applyNumberFormat="1" applyFont="1" applyBorder="1" applyAlignment="1">
      <alignment horizontal="right" vertical="center" indent="1"/>
    </xf>
    <xf numFmtId="2" fontId="0" fillId="0" borderId="4" xfId="0" applyNumberFormat="1" applyBorder="1" applyAlignment="1">
      <alignment vertical="center"/>
    </xf>
    <xf numFmtId="2" fontId="0" fillId="0" borderId="5" xfId="0" applyNumberFormat="1" applyBorder="1" applyAlignment="1">
      <alignment vertical="center"/>
    </xf>
    <xf numFmtId="2" fontId="0" fillId="0" borderId="5" xfId="0" applyNumberFormat="1" applyBorder="1"/>
    <xf numFmtId="2" fontId="0" fillId="5" borderId="8" xfId="0" applyNumberFormat="1" applyFill="1" applyBorder="1" applyAlignment="1">
      <alignment vertical="center"/>
    </xf>
    <xf numFmtId="2" fontId="0" fillId="5" borderId="0" xfId="0" applyNumberFormat="1" applyFill="1" applyAlignment="1">
      <alignment vertical="center"/>
    </xf>
    <xf numFmtId="2" fontId="0" fillId="5" borderId="0" xfId="0" applyNumberFormat="1" applyFill="1"/>
    <xf numFmtId="4" fontId="0" fillId="0" borderId="0" xfId="0" applyNumberFormat="1"/>
    <xf numFmtId="0" fontId="0" fillId="17" borderId="0" xfId="0" applyFill="1"/>
    <xf numFmtId="0" fontId="17" fillId="0" borderId="4" xfId="0" applyFont="1" applyBorder="1"/>
    <xf numFmtId="0" fontId="18" fillId="0" borderId="8" xfId="0" applyFont="1" applyBorder="1"/>
    <xf numFmtId="0" fontId="18" fillId="0" borderId="9" xfId="0" applyFont="1" applyBorder="1"/>
    <xf numFmtId="0" fontId="18" fillId="0" borderId="12" xfId="0" applyFont="1" applyBorder="1"/>
    <xf numFmtId="0" fontId="18" fillId="0" borderId="0" xfId="2" applyFont="1"/>
    <xf numFmtId="0" fontId="33" fillId="0" borderId="0" xfId="0" applyFont="1"/>
    <xf numFmtId="0" fontId="34" fillId="0" borderId="0" xfId="0" applyFont="1" applyAlignment="1">
      <alignment wrapText="1"/>
    </xf>
    <xf numFmtId="0" fontId="34" fillId="0" borderId="0" xfId="0" applyFont="1"/>
    <xf numFmtId="0" fontId="33" fillId="0" borderId="0" xfId="0" applyFont="1" applyAlignment="1">
      <alignment horizontal="center"/>
    </xf>
    <xf numFmtId="0" fontId="0" fillId="0" borderId="11" xfId="0" applyBorder="1"/>
    <xf numFmtId="3" fontId="0" fillId="0" borderId="14" xfId="0" applyNumberFormat="1" applyBorder="1" applyAlignment="1">
      <alignment horizontal="center" vertical="center"/>
    </xf>
    <xf numFmtId="3" fontId="0" fillId="0" borderId="24" xfId="0" applyNumberFormat="1" applyBorder="1" applyAlignment="1">
      <alignment horizontal="center" vertical="center"/>
    </xf>
    <xf numFmtId="0" fontId="35" fillId="0" borderId="0" xfId="0" applyFont="1"/>
    <xf numFmtId="0" fontId="2" fillId="0" borderId="8" xfId="0" applyFont="1" applyBorder="1" applyAlignment="1">
      <alignment vertical="center"/>
    </xf>
    <xf numFmtId="0" fontId="17" fillId="0" borderId="0" xfId="0" applyFont="1"/>
    <xf numFmtId="2" fontId="0" fillId="0" borderId="14" xfId="0" applyNumberFormat="1" applyBorder="1"/>
    <xf numFmtId="9" fontId="0" fillId="0" borderId="11" xfId="1" applyFont="1" applyBorder="1"/>
    <xf numFmtId="9" fontId="0" fillId="0" borderId="14" xfId="1" applyFont="1" applyBorder="1"/>
    <xf numFmtId="0" fontId="2" fillId="0" borderId="1" xfId="0" applyFont="1" applyBorder="1"/>
    <xf numFmtId="165" fontId="2" fillId="0" borderId="4"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5" xfId="0" applyNumberFormat="1" applyFont="1" applyBorder="1" applyAlignment="1">
      <alignment horizontal="right" vertical="center" indent="1"/>
    </xf>
    <xf numFmtId="165" fontId="2" fillId="0" borderId="6" xfId="0" applyNumberFormat="1" applyFont="1" applyBorder="1" applyAlignment="1">
      <alignment horizontal="center" vertical="center"/>
    </xf>
    <xf numFmtId="0" fontId="36" fillId="0" borderId="13" xfId="0" applyFont="1" applyBorder="1" applyAlignment="1">
      <alignment horizontal="left" vertical="center"/>
    </xf>
    <xf numFmtId="0" fontId="0" fillId="0" borderId="1" xfId="0" applyBorder="1" applyAlignment="1">
      <alignment horizontal="left" vertical="center" indent="1"/>
    </xf>
    <xf numFmtId="0" fontId="37" fillId="0" borderId="0" xfId="0" applyFont="1"/>
    <xf numFmtId="0" fontId="18" fillId="0" borderId="5" xfId="0" applyFont="1" applyBorder="1" applyAlignment="1">
      <alignment vertical="center"/>
    </xf>
    <xf numFmtId="0" fontId="18" fillId="0" borderId="2" xfId="0" applyFont="1" applyBorder="1" applyAlignment="1">
      <alignment vertical="center"/>
    </xf>
    <xf numFmtId="0" fontId="18" fillId="0" borderId="10" xfId="0" applyFont="1" applyBorder="1" applyAlignment="1">
      <alignment vertical="center"/>
    </xf>
    <xf numFmtId="0" fontId="8" fillId="0" borderId="10" xfId="0" applyFont="1" applyBorder="1" applyAlignment="1">
      <alignment vertical="center"/>
    </xf>
    <xf numFmtId="0" fontId="18" fillId="0" borderId="0" xfId="0" applyFont="1" applyAlignment="1">
      <alignment vertical="center"/>
    </xf>
    <xf numFmtId="0" fontId="38" fillId="0" borderId="0" xfId="0" applyFont="1"/>
    <xf numFmtId="0" fontId="0" fillId="10" borderId="11" xfId="0" applyFill="1" applyBorder="1" applyAlignment="1">
      <alignment wrapText="1"/>
    </xf>
    <xf numFmtId="0" fontId="0" fillId="10" borderId="14" xfId="0" applyFill="1" applyBorder="1" applyAlignment="1">
      <alignment wrapText="1"/>
    </xf>
    <xf numFmtId="0" fontId="24" fillId="10" borderId="0" xfId="0" applyFont="1" applyFill="1" applyAlignment="1">
      <alignment vertical="center" wrapText="1"/>
    </xf>
    <xf numFmtId="0" fontId="29" fillId="10" borderId="0" xfId="0" applyFont="1" applyFill="1" applyAlignment="1">
      <alignment vertical="center" wrapText="1"/>
    </xf>
    <xf numFmtId="0" fontId="25" fillId="10" borderId="0" xfId="0" applyFont="1" applyFill="1" applyAlignment="1">
      <alignment vertical="center" wrapText="1"/>
    </xf>
    <xf numFmtId="0" fontId="0" fillId="0" borderId="27" xfId="0" applyBorder="1"/>
    <xf numFmtId="9" fontId="24" fillId="10" borderId="0" xfId="0" applyNumberFormat="1" applyFont="1" applyFill="1" applyAlignment="1">
      <alignment horizontal="center" vertical="center" wrapText="1"/>
    </xf>
    <xf numFmtId="9" fontId="24" fillId="10" borderId="0" xfId="0" applyNumberFormat="1" applyFont="1" applyFill="1" applyAlignment="1">
      <alignment vertical="center" wrapText="1"/>
    </xf>
    <xf numFmtId="0" fontId="28" fillId="11" borderId="0" xfId="0" applyFont="1" applyFill="1" applyAlignment="1">
      <alignment horizontal="left" vertical="center" wrapText="1"/>
    </xf>
    <xf numFmtId="0" fontId="30" fillId="12" borderId="0" xfId="0" applyFont="1" applyFill="1" applyAlignment="1">
      <alignment horizontal="center" vertical="center" wrapText="1"/>
    </xf>
    <xf numFmtId="9" fontId="25" fillId="10" borderId="0" xfId="0" applyNumberFormat="1" applyFont="1" applyFill="1" applyAlignment="1">
      <alignment horizontal="center" vertical="center" wrapText="1"/>
    </xf>
    <xf numFmtId="0" fontId="26" fillId="10" borderId="0" xfId="0" applyFont="1" applyFill="1" applyAlignment="1">
      <alignment horizontal="left" vertical="center" wrapText="1"/>
    </xf>
    <xf numFmtId="9" fontId="24" fillId="13" borderId="0" xfId="0" applyNumberFormat="1" applyFont="1" applyFill="1" applyAlignment="1">
      <alignment horizontal="center" vertical="center" wrapText="1"/>
    </xf>
    <xf numFmtId="0" fontId="31" fillId="10" borderId="0" xfId="0" applyFont="1" applyFill="1" applyAlignment="1">
      <alignment horizontal="left" vertical="center" wrapText="1"/>
    </xf>
    <xf numFmtId="0" fontId="25" fillId="10" borderId="1" xfId="0" applyFont="1" applyFill="1" applyBorder="1" applyAlignment="1">
      <alignment vertical="center" wrapText="1"/>
    </xf>
    <xf numFmtId="0" fontId="25" fillId="10" borderId="8" xfId="0" applyFont="1" applyFill="1" applyBorder="1" applyAlignment="1">
      <alignment vertical="center" wrapText="1"/>
    </xf>
    <xf numFmtId="0" fontId="25" fillId="10" borderId="9" xfId="0" applyFont="1" applyFill="1" applyBorder="1" applyAlignment="1">
      <alignment vertical="center" wrapText="1"/>
    </xf>
    <xf numFmtId="0" fontId="25" fillId="10" borderId="4" xfId="0" applyFont="1" applyFill="1" applyBorder="1" applyAlignment="1">
      <alignment vertical="center" wrapText="1"/>
    </xf>
    <xf numFmtId="0" fontId="25" fillId="10" borderId="8" xfId="0" applyFont="1" applyFill="1" applyBorder="1" applyAlignment="1">
      <alignment horizontal="left" vertical="center" wrapText="1"/>
    </xf>
    <xf numFmtId="0" fontId="24" fillId="10" borderId="8" xfId="0" applyFont="1" applyFill="1" applyBorder="1" applyAlignment="1">
      <alignment vertical="center" wrapText="1"/>
    </xf>
    <xf numFmtId="0" fontId="24" fillId="10" borderId="9" xfId="0" applyFont="1" applyFill="1" applyBorder="1" applyAlignment="1">
      <alignment vertical="center" wrapText="1"/>
    </xf>
    <xf numFmtId="0" fontId="0" fillId="19" borderId="32" xfId="0" applyFill="1" applyBorder="1"/>
    <xf numFmtId="0" fontId="0" fillId="19" borderId="31" xfId="0" applyFill="1" applyBorder="1"/>
    <xf numFmtId="0" fontId="0" fillId="19" borderId="25" xfId="0" applyFill="1" applyBorder="1"/>
    <xf numFmtId="0" fontId="0" fillId="19" borderId="27" xfId="0" applyFill="1" applyBorder="1"/>
    <xf numFmtId="0" fontId="0" fillId="19" borderId="29" xfId="0" applyFill="1" applyBorder="1"/>
    <xf numFmtId="0" fontId="0" fillId="20" borderId="26" xfId="0" applyFill="1" applyBorder="1"/>
    <xf numFmtId="0" fontId="0" fillId="20" borderId="25" xfId="0" applyFill="1" applyBorder="1"/>
    <xf numFmtId="0" fontId="0" fillId="20" borderId="30" xfId="0" applyFill="1" applyBorder="1"/>
    <xf numFmtId="0" fontId="0" fillId="20" borderId="28" xfId="0" applyFill="1" applyBorder="1"/>
    <xf numFmtId="0" fontId="0" fillId="20" borderId="29" xfId="0" applyFill="1" applyBorder="1"/>
    <xf numFmtId="0" fontId="0" fillId="17" borderId="27" xfId="0" applyFill="1" applyBorder="1"/>
    <xf numFmtId="0" fontId="0" fillId="17" borderId="33" xfId="0" applyFill="1" applyBorder="1"/>
    <xf numFmtId="0" fontId="0" fillId="19" borderId="0" xfId="0" applyFill="1"/>
    <xf numFmtId="0" fontId="0" fillId="19" borderId="26" xfId="0"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19" borderId="30" xfId="0" applyFill="1" applyBorder="1"/>
    <xf numFmtId="0" fontId="0" fillId="21" borderId="27" xfId="0" applyFill="1"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21" borderId="28" xfId="0" applyFill="1" applyBorder="1"/>
    <xf numFmtId="0" fontId="0" fillId="21" borderId="32" xfId="0" applyFill="1" applyBorder="1"/>
    <xf numFmtId="0" fontId="0" fillId="21" borderId="34" xfId="0" applyFill="1" applyBorder="1"/>
    <xf numFmtId="0" fontId="0" fillId="21" borderId="0" xfId="0" applyFill="1"/>
    <xf numFmtId="0" fontId="0" fillId="19" borderId="28" xfId="0" applyFill="1" applyBorder="1"/>
    <xf numFmtId="0" fontId="0" fillId="20" borderId="35" xfId="0" applyFill="1" applyBorder="1"/>
    <xf numFmtId="0" fontId="0" fillId="20" borderId="53" xfId="0" applyFill="1" applyBorder="1"/>
    <xf numFmtId="0" fontId="0" fillId="20" borderId="51" xfId="0" applyFill="1" applyBorder="1"/>
    <xf numFmtId="0" fontId="0" fillId="20" borderId="52" xfId="0" applyFill="1" applyBorder="1"/>
    <xf numFmtId="0" fontId="0" fillId="20" borderId="31" xfId="0" applyFill="1" applyBorder="1"/>
    <xf numFmtId="0" fontId="0" fillId="20" borderId="57" xfId="0" applyFill="1" applyBorder="1"/>
    <xf numFmtId="0" fontId="0" fillId="20" borderId="56" xfId="0" applyFill="1" applyBorder="1"/>
    <xf numFmtId="0" fontId="0" fillId="21" borderId="55" xfId="0" applyFill="1" applyBorder="1"/>
    <xf numFmtId="0" fontId="0" fillId="21" borderId="56" xfId="0" applyFill="1" applyBorder="1"/>
    <xf numFmtId="0" fontId="0" fillId="0" borderId="10"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3" fontId="0" fillId="0" borderId="8" xfId="0" applyNumberFormat="1" applyBorder="1" applyAlignment="1">
      <alignment horizontal="right" vertical="center" indent="1"/>
    </xf>
    <xf numFmtId="3" fontId="0" fillId="0" borderId="12" xfId="0" applyNumberFormat="1" applyBorder="1" applyAlignment="1">
      <alignment horizontal="right" vertical="center" indent="1"/>
    </xf>
    <xf numFmtId="3" fontId="0" fillId="0" borderId="9" xfId="0" applyNumberFormat="1" applyBorder="1" applyAlignment="1">
      <alignment horizontal="right" vertical="center" indent="1"/>
    </xf>
    <xf numFmtId="3" fontId="0" fillId="0" borderId="10" xfId="0" applyNumberFormat="1" applyBorder="1" applyAlignment="1">
      <alignment horizontal="right" vertical="center" indent="1"/>
    </xf>
    <xf numFmtId="3" fontId="0" fillId="0" borderId="13" xfId="0" applyNumberFormat="1" applyBorder="1" applyAlignment="1">
      <alignment horizontal="right" vertical="center" indent="1"/>
    </xf>
    <xf numFmtId="0" fontId="4" fillId="0" borderId="0" xfId="0" applyFont="1"/>
    <xf numFmtId="3" fontId="0" fillId="0" borderId="3" xfId="0" applyNumberFormat="1" applyBorder="1" applyAlignment="1">
      <alignment horizontal="right" vertical="center" indent="1"/>
    </xf>
    <xf numFmtId="9" fontId="0" fillId="0" borderId="3" xfId="1" applyFont="1" applyBorder="1"/>
    <xf numFmtId="10" fontId="0" fillId="0" borderId="0" xfId="1" applyNumberFormat="1" applyFont="1"/>
    <xf numFmtId="0" fontId="2" fillId="0" borderId="5" xfId="0" applyFont="1" applyBorder="1"/>
    <xf numFmtId="0" fontId="2" fillId="0" borderId="4" xfId="0" applyFont="1" applyBorder="1" applyAlignment="1">
      <alignment horizontal="left" vertical="center"/>
    </xf>
    <xf numFmtId="0" fontId="0" fillId="0" borderId="4" xfId="0" applyBorder="1" applyAlignment="1">
      <alignment horizontal="left" vertical="center" indent="1"/>
    </xf>
    <xf numFmtId="3" fontId="41" fillId="0" borderId="4" xfId="0" applyNumberFormat="1" applyFont="1" applyBorder="1" applyAlignment="1">
      <alignment vertical="center"/>
    </xf>
    <xf numFmtId="3" fontId="41" fillId="0" borderId="5" xfId="0" applyNumberFormat="1" applyFont="1" applyBorder="1" applyAlignment="1">
      <alignment vertical="center"/>
    </xf>
    <xf numFmtId="3" fontId="42" fillId="0" borderId="5" xfId="0" applyNumberFormat="1" applyFont="1" applyBorder="1"/>
    <xf numFmtId="3" fontId="41" fillId="0" borderId="5" xfId="0" applyNumberFormat="1" applyFont="1" applyBorder="1"/>
    <xf numFmtId="3" fontId="41" fillId="0" borderId="6" xfId="0" applyNumberFormat="1" applyFont="1" applyBorder="1"/>
    <xf numFmtId="3" fontId="42" fillId="0" borderId="4" xfId="0" applyNumberFormat="1" applyFont="1" applyBorder="1"/>
    <xf numFmtId="3" fontId="42" fillId="0" borderId="5" xfId="0" applyNumberFormat="1" applyFont="1" applyBorder="1" applyAlignment="1">
      <alignment horizontal="right" vertical="center"/>
    </xf>
    <xf numFmtId="3" fontId="42" fillId="0" borderId="6" xfId="0" applyNumberFormat="1" applyFont="1" applyBorder="1" applyAlignment="1">
      <alignment horizontal="right" vertical="center"/>
    </xf>
    <xf numFmtId="0" fontId="0" fillId="0" borderId="0" xfId="0" applyAlignment="1">
      <alignment wrapText="1"/>
    </xf>
    <xf numFmtId="0" fontId="2" fillId="0" borderId="9" xfId="0" applyFont="1" applyBorder="1"/>
    <xf numFmtId="0" fontId="2" fillId="0" borderId="0" xfId="0" applyFont="1" applyAlignment="1">
      <alignment horizontal="left" vertical="center" indent="1"/>
    </xf>
    <xf numFmtId="0" fontId="2" fillId="0" borderId="8" xfId="0" applyFont="1" applyBorder="1"/>
    <xf numFmtId="2" fontId="0" fillId="0" borderId="13" xfId="0" applyNumberFormat="1" applyBorder="1"/>
    <xf numFmtId="167" fontId="43" fillId="25" borderId="12" xfId="1" applyNumberFormat="1" applyFont="1" applyFill="1" applyBorder="1"/>
    <xf numFmtId="0" fontId="47" fillId="0" borderId="0" xfId="0" applyFont="1"/>
    <xf numFmtId="0" fontId="44" fillId="10" borderId="0" xfId="0" applyFont="1" applyFill="1"/>
    <xf numFmtId="0" fontId="47" fillId="10" borderId="0" xfId="0" applyFont="1" applyFill="1"/>
    <xf numFmtId="48" fontId="47" fillId="0" borderId="0" xfId="3" applyNumberFormat="1" applyFont="1" applyBorder="1"/>
    <xf numFmtId="48" fontId="47" fillId="0" borderId="12" xfId="3" applyNumberFormat="1" applyFont="1" applyBorder="1"/>
    <xf numFmtId="48" fontId="48" fillId="0" borderId="0" xfId="3" applyNumberFormat="1" applyFont="1" applyBorder="1"/>
    <xf numFmtId="48" fontId="48" fillId="0" borderId="12" xfId="3" applyNumberFormat="1" applyFont="1" applyBorder="1"/>
    <xf numFmtId="48" fontId="43" fillId="25" borderId="12" xfId="1" applyNumberFormat="1" applyFont="1" applyFill="1" applyBorder="1"/>
    <xf numFmtId="9" fontId="0" fillId="0" borderId="0" xfId="1" applyFont="1"/>
    <xf numFmtId="9" fontId="0" fillId="0" borderId="0" xfId="0" applyNumberFormat="1"/>
    <xf numFmtId="48" fontId="48" fillId="0" borderId="60" xfId="3" applyNumberFormat="1" applyFont="1" applyBorder="1"/>
    <xf numFmtId="0" fontId="0" fillId="0" borderId="58" xfId="0" applyBorder="1"/>
    <xf numFmtId="48" fontId="48" fillId="26" borderId="0" xfId="3" applyNumberFormat="1" applyFont="1" applyFill="1" applyBorder="1"/>
    <xf numFmtId="0" fontId="17" fillId="0" borderId="58" xfId="0" applyFont="1" applyBorder="1"/>
    <xf numFmtId="0" fontId="17" fillId="0" borderId="59" xfId="0" applyFont="1" applyBorder="1"/>
    <xf numFmtId="48" fontId="0" fillId="0" borderId="0" xfId="0" applyNumberFormat="1"/>
    <xf numFmtId="48" fontId="44" fillId="26" borderId="0" xfId="3" applyNumberFormat="1" applyFont="1" applyFill="1" applyBorder="1"/>
    <xf numFmtId="48" fontId="2" fillId="0" borderId="0" xfId="0" applyNumberFormat="1" applyFont="1"/>
    <xf numFmtId="169" fontId="0" fillId="0" borderId="10" xfId="0" applyNumberFormat="1" applyBorder="1"/>
    <xf numFmtId="169" fontId="0" fillId="0" borderId="13" xfId="0" applyNumberFormat="1" applyBorder="1"/>
    <xf numFmtId="9" fontId="0" fillId="0" borderId="2" xfId="0" applyNumberFormat="1" applyBorder="1"/>
    <xf numFmtId="9" fontId="0" fillId="0" borderId="3" xfId="0" applyNumberFormat="1" applyBorder="1"/>
    <xf numFmtId="9" fontId="0" fillId="0" borderId="12" xfId="0" applyNumberFormat="1" applyBorder="1"/>
    <xf numFmtId="9" fontId="0" fillId="0" borderId="10" xfId="0" applyNumberFormat="1" applyBorder="1"/>
    <xf numFmtId="9" fontId="0" fillId="0" borderId="13" xfId="0" applyNumberFormat="1" applyBorder="1"/>
    <xf numFmtId="9" fontId="0" fillId="0" borderId="2" xfId="1" applyFont="1" applyBorder="1"/>
    <xf numFmtId="0" fontId="0" fillId="0" borderId="11" xfId="0" applyBorder="1" applyAlignment="1">
      <alignment horizontal="center"/>
    </xf>
    <xf numFmtId="0" fontId="0" fillId="10" borderId="0" xfId="0" applyFill="1"/>
    <xf numFmtId="9" fontId="0" fillId="0" borderId="5" xfId="1" applyFont="1" applyFill="1" applyBorder="1" applyAlignment="1">
      <alignment horizontal="center" vertical="center"/>
    </xf>
    <xf numFmtId="10" fontId="0" fillId="0" borderId="0" xfId="0" applyNumberFormat="1"/>
    <xf numFmtId="43" fontId="0" fillId="0" borderId="0" xfId="0" applyNumberFormat="1" applyAlignment="1">
      <alignment horizontal="center"/>
    </xf>
    <xf numFmtId="2" fontId="33" fillId="0" borderId="0" xfId="3" applyNumberFormat="1" applyFont="1" applyFill="1" applyBorder="1" applyAlignment="1" applyProtection="1">
      <alignment horizontal="center"/>
    </xf>
    <xf numFmtId="2" fontId="33" fillId="0" borderId="0" xfId="0" applyNumberFormat="1" applyFont="1" applyAlignment="1">
      <alignment horizontal="center"/>
    </xf>
    <xf numFmtId="10" fontId="0" fillId="0" borderId="3" xfId="0" applyNumberFormat="1" applyBorder="1"/>
    <xf numFmtId="10" fontId="0" fillId="0" borderId="2" xfId="0" applyNumberFormat="1" applyBorder="1"/>
    <xf numFmtId="0" fontId="18" fillId="0" borderId="0" xfId="2" applyFont="1" applyFill="1"/>
    <xf numFmtId="0" fontId="0" fillId="0" borderId="2" xfId="1" applyNumberFormat="1" applyFont="1" applyBorder="1"/>
    <xf numFmtId="0" fontId="52" fillId="0" borderId="0" xfId="0" applyFont="1"/>
    <xf numFmtId="169" fontId="0" fillId="0" borderId="3" xfId="1" applyNumberFormat="1" applyFont="1" applyBorder="1"/>
    <xf numFmtId="0" fontId="0" fillId="0" borderId="0" xfId="0" applyAlignment="1">
      <alignment horizontal="left"/>
    </xf>
    <xf numFmtId="0" fontId="51" fillId="0" borderId="10" xfId="0" applyFont="1" applyBorder="1"/>
    <xf numFmtId="0" fontId="51" fillId="0" borderId="2" xfId="0" applyFont="1" applyBorder="1"/>
    <xf numFmtId="0" fontId="0" fillId="15" borderId="4" xfId="0" applyFill="1" applyBorder="1"/>
    <xf numFmtId="0" fontId="0" fillId="15" borderId="5" xfId="0" applyFill="1" applyBorder="1"/>
    <xf numFmtId="0" fontId="0" fillId="15" borderId="6" xfId="0" applyFill="1" applyBorder="1"/>
    <xf numFmtId="2" fontId="0" fillId="0" borderId="3" xfId="0" applyNumberFormat="1" applyBorder="1"/>
    <xf numFmtId="2" fontId="0" fillId="0" borderId="9" xfId="0" applyNumberFormat="1" applyBorder="1"/>
    <xf numFmtId="0" fontId="2" fillId="0" borderId="0" xfId="0" applyFont="1" applyAlignment="1">
      <alignment horizontal="center" vertical="top"/>
    </xf>
    <xf numFmtId="0" fontId="55" fillId="0" borderId="4" xfId="0" applyFont="1" applyBorder="1"/>
    <xf numFmtId="0" fontId="55" fillId="0" borderId="5" xfId="0" applyFont="1" applyBorder="1"/>
    <xf numFmtId="0" fontId="55" fillId="0" borderId="6" xfId="0" applyFont="1" applyBorder="1"/>
    <xf numFmtId="0" fontId="51" fillId="0" borderId="1" xfId="0" applyFont="1" applyBorder="1"/>
    <xf numFmtId="0" fontId="51" fillId="0" borderId="3" xfId="0" applyFont="1" applyBorder="1"/>
    <xf numFmtId="0" fontId="51" fillId="0" borderId="9" xfId="0" applyFont="1" applyBorder="1"/>
    <xf numFmtId="0" fontId="51" fillId="0" borderId="13" xfId="0" applyFont="1" applyBorder="1"/>
    <xf numFmtId="0" fontId="56" fillId="28" borderId="1" xfId="0" applyFont="1" applyFill="1" applyBorder="1"/>
    <xf numFmtId="0" fontId="56" fillId="28" borderId="2" xfId="0" applyFont="1" applyFill="1" applyBorder="1"/>
    <xf numFmtId="0" fontId="56" fillId="28" borderId="3" xfId="0" applyFont="1" applyFill="1" applyBorder="1"/>
    <xf numFmtId="43" fontId="0" fillId="0" borderId="1" xfId="0" applyNumberFormat="1" applyBorder="1"/>
    <xf numFmtId="43" fontId="0" fillId="0" borderId="9" xfId="0" applyNumberFormat="1" applyBorder="1"/>
    <xf numFmtId="43" fontId="0" fillId="0" borderId="10" xfId="0" applyNumberFormat="1" applyBorder="1"/>
    <xf numFmtId="43" fontId="0" fillId="0" borderId="13" xfId="0" applyNumberFormat="1" applyBorder="1"/>
    <xf numFmtId="9" fontId="0" fillId="0" borderId="1" xfId="1" applyFont="1" applyBorder="1"/>
    <xf numFmtId="9" fontId="0" fillId="0" borderId="9" xfId="0" applyNumberFormat="1" applyBorder="1"/>
    <xf numFmtId="48" fontId="44" fillId="0" borderId="0" xfId="3" applyNumberFormat="1" applyFont="1" applyBorder="1"/>
    <xf numFmtId="9" fontId="0" fillId="0" borderId="8" xfId="0" applyNumberFormat="1" applyBorder="1"/>
    <xf numFmtId="48" fontId="48" fillId="17" borderId="0" xfId="3" applyNumberFormat="1" applyFont="1" applyFill="1" applyBorder="1"/>
    <xf numFmtId="0" fontId="17" fillId="0" borderId="8" xfId="0" applyFont="1" applyBorder="1"/>
    <xf numFmtId="0" fontId="17" fillId="0" borderId="9" xfId="0" applyFont="1" applyBorder="1"/>
    <xf numFmtId="0" fontId="17" fillId="0" borderId="1" xfId="0" applyFont="1" applyBorder="1"/>
    <xf numFmtId="0" fontId="14" fillId="6" borderId="1"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0" fillId="6" borderId="63" xfId="0" applyFill="1" applyBorder="1" applyAlignment="1">
      <alignment vertical="top" wrapText="1"/>
    </xf>
    <xf numFmtId="0" fontId="13" fillId="6" borderId="12" xfId="0" applyFont="1" applyFill="1" applyBorder="1" applyAlignment="1">
      <alignment horizontal="center" vertical="center" wrapText="1"/>
    </xf>
    <xf numFmtId="0" fontId="0" fillId="6" borderId="12" xfId="0" applyFill="1" applyBorder="1" applyAlignment="1">
      <alignment vertical="center" wrapText="1"/>
    </xf>
    <xf numFmtId="0" fontId="0" fillId="6" borderId="12" xfId="0" applyFill="1" applyBorder="1" applyAlignment="1">
      <alignment vertical="top" wrapText="1"/>
    </xf>
    <xf numFmtId="9" fontId="0" fillId="10" borderId="7" xfId="1" applyFont="1" applyFill="1" applyBorder="1"/>
    <xf numFmtId="9" fontId="0" fillId="10" borderId="14" xfId="1" applyFont="1" applyFill="1" applyBorder="1"/>
    <xf numFmtId="9" fontId="0" fillId="10" borderId="24" xfId="1" applyFont="1" applyFill="1" applyBorder="1"/>
    <xf numFmtId="0" fontId="2" fillId="10" borderId="1" xfId="0" applyFont="1" applyFill="1" applyBorder="1"/>
    <xf numFmtId="3" fontId="0" fillId="10" borderId="0" xfId="0" applyNumberFormat="1" applyFill="1" applyAlignment="1">
      <alignment horizontal="center" vertical="center"/>
    </xf>
    <xf numFmtId="3" fontId="0" fillId="10" borderId="8" xfId="0" applyNumberFormat="1" applyFill="1" applyBorder="1" applyAlignment="1">
      <alignment horizontal="center" vertical="center"/>
    </xf>
    <xf numFmtId="164" fontId="0" fillId="0" borderId="0" xfId="0" applyNumberFormat="1" applyAlignment="1">
      <alignment horizontal="center"/>
    </xf>
    <xf numFmtId="0" fontId="0" fillId="0" borderId="12" xfId="0" applyBorder="1" applyAlignment="1">
      <alignment horizontal="center"/>
    </xf>
    <xf numFmtId="1" fontId="0" fillId="0" borderId="0" xfId="0" applyNumberFormat="1" applyAlignment="1">
      <alignment horizontal="center"/>
    </xf>
    <xf numFmtId="1" fontId="0" fillId="0" borderId="0" xfId="0" applyNumberFormat="1" applyAlignment="1">
      <alignment horizontal="center" vertical="center"/>
    </xf>
    <xf numFmtId="1" fontId="0" fillId="0" borderId="10" xfId="0" applyNumberFormat="1" applyBorder="1" applyAlignment="1">
      <alignment horizontal="center" vertical="center"/>
    </xf>
    <xf numFmtId="0" fontId="0" fillId="0" borderId="13" xfId="0"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0" xfId="0" applyNumberFormat="1" applyBorder="1" applyAlignment="1">
      <alignment horizontal="center"/>
    </xf>
    <xf numFmtId="0" fontId="43" fillId="24" borderId="1" xfId="0" applyFont="1" applyFill="1" applyBorder="1"/>
    <xf numFmtId="0" fontId="43" fillId="24" borderId="2" xfId="0" applyFont="1" applyFill="1" applyBorder="1"/>
    <xf numFmtId="0" fontId="43" fillId="24" borderId="3" xfId="0" applyFont="1" applyFill="1" applyBorder="1"/>
    <xf numFmtId="0" fontId="43" fillId="25" borderId="8" xfId="0" applyFont="1" applyFill="1" applyBorder="1"/>
    <xf numFmtId="0" fontId="45" fillId="0" borderId="8" xfId="0" applyFont="1" applyBorder="1"/>
    <xf numFmtId="0" fontId="53" fillId="10" borderId="0" xfId="0" applyFont="1" applyFill="1"/>
    <xf numFmtId="0" fontId="55" fillId="0" borderId="1" xfId="0" applyFont="1" applyBorder="1"/>
    <xf numFmtId="0" fontId="55" fillId="0" borderId="2" xfId="0" applyFont="1" applyBorder="1"/>
    <xf numFmtId="0" fontId="55" fillId="0" borderId="3" xfId="0" applyFont="1" applyBorder="1"/>
    <xf numFmtId="0" fontId="54" fillId="29" borderId="9" xfId="0" applyFont="1" applyFill="1" applyBorder="1"/>
    <xf numFmtId="2" fontId="54" fillId="29" borderId="8" xfId="0" applyNumberFormat="1" applyFont="1" applyFill="1" applyBorder="1"/>
    <xf numFmtId="2" fontId="54" fillId="29" borderId="12" xfId="0" applyNumberFormat="1" applyFont="1" applyFill="1" applyBorder="1"/>
    <xf numFmtId="2" fontId="54" fillId="29" borderId="9" xfId="0" applyNumberFormat="1" applyFont="1" applyFill="1" applyBorder="1"/>
    <xf numFmtId="2" fontId="54" fillId="29" borderId="10" xfId="0" applyNumberFormat="1" applyFont="1" applyFill="1" applyBorder="1"/>
    <xf numFmtId="2" fontId="54" fillId="29" borderId="13" xfId="0" applyNumberFormat="1" applyFont="1" applyFill="1" applyBorder="1"/>
    <xf numFmtId="0" fontId="54" fillId="0" borderId="1" xfId="0" applyFont="1" applyBorder="1"/>
    <xf numFmtId="0" fontId="54" fillId="0" borderId="8" xfId="0" applyFont="1" applyBorder="1"/>
    <xf numFmtId="0" fontId="54" fillId="0" borderId="4" xfId="0" applyFont="1" applyBorder="1"/>
    <xf numFmtId="0" fontId="2" fillId="0" borderId="12" xfId="0" applyFont="1" applyBorder="1" applyAlignment="1">
      <alignment horizontal="center"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55" fillId="0" borderId="0" xfId="0" applyFont="1" applyAlignment="1">
      <alignment horizontal="left"/>
    </xf>
    <xf numFmtId="0" fontId="56" fillId="0" borderId="1" xfId="0" applyFont="1" applyBorder="1"/>
    <xf numFmtId="0" fontId="0" fillId="0" borderId="4" xfId="0" applyBorder="1" applyAlignment="1">
      <alignment horizontal="left"/>
    </xf>
    <xf numFmtId="9" fontId="0" fillId="0" borderId="5" xfId="0" applyNumberFormat="1" applyBorder="1"/>
    <xf numFmtId="9" fontId="0" fillId="0" borderId="5" xfId="0" applyNumberFormat="1" applyBorder="1" applyAlignment="1">
      <alignment horizontal="left"/>
    </xf>
    <xf numFmtId="0" fontId="0" fillId="0" borderId="6" xfId="0" applyBorder="1" applyAlignment="1">
      <alignment horizontal="left"/>
    </xf>
    <xf numFmtId="9" fontId="0" fillId="0" borderId="6" xfId="0" applyNumberFormat="1" applyBorder="1" applyAlignment="1">
      <alignment horizontal="center"/>
    </xf>
    <xf numFmtId="9" fontId="0" fillId="0" borderId="2" xfId="0" applyNumberFormat="1" applyBorder="1" applyAlignment="1">
      <alignment horizontal="center"/>
    </xf>
    <xf numFmtId="9" fontId="0" fillId="0" borderId="3" xfId="1" applyFont="1" applyBorder="1" applyAlignment="1">
      <alignment horizontal="center"/>
    </xf>
    <xf numFmtId="9" fontId="0" fillId="0" borderId="0" xfId="0" applyNumberFormat="1" applyAlignment="1">
      <alignment horizontal="center"/>
    </xf>
    <xf numFmtId="9" fontId="0" fillId="0" borderId="12" xfId="1" applyFont="1" applyBorder="1" applyAlignment="1">
      <alignment horizontal="center"/>
    </xf>
    <xf numFmtId="9" fontId="0" fillId="0" borderId="10" xfId="0" applyNumberFormat="1" applyBorder="1" applyAlignment="1">
      <alignment horizontal="center"/>
    </xf>
    <xf numFmtId="9" fontId="0" fillId="0" borderId="13" xfId="1" applyFont="1" applyBorder="1" applyAlignment="1">
      <alignment horizontal="center"/>
    </xf>
    <xf numFmtId="9" fontId="0" fillId="0" borderId="3"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9" fontId="0" fillId="0" borderId="1" xfId="0" applyNumberFormat="1" applyBorder="1"/>
    <xf numFmtId="48" fontId="44" fillId="0" borderId="12" xfId="3" applyNumberFormat="1" applyFont="1" applyBorder="1"/>
    <xf numFmtId="48" fontId="48" fillId="26" borderId="12" xfId="3" applyNumberFormat="1" applyFont="1" applyFill="1" applyBorder="1"/>
    <xf numFmtId="48" fontId="48" fillId="0" borderId="68" xfId="3" applyNumberFormat="1" applyFont="1" applyBorder="1"/>
    <xf numFmtId="48" fontId="0" fillId="0" borderId="12" xfId="0" applyNumberFormat="1" applyBorder="1"/>
    <xf numFmtId="48" fontId="0" fillId="0" borderId="1" xfId="0" applyNumberFormat="1" applyBorder="1"/>
    <xf numFmtId="48" fontId="0" fillId="0" borderId="2" xfId="0" applyNumberFormat="1" applyBorder="1"/>
    <xf numFmtId="48" fontId="0" fillId="0" borderId="9" xfId="0" applyNumberFormat="1" applyBorder="1"/>
    <xf numFmtId="48" fontId="0" fillId="0" borderId="10" xfId="0" applyNumberFormat="1" applyBorder="1"/>
    <xf numFmtId="48" fontId="0" fillId="0" borderId="13" xfId="0" applyNumberFormat="1" applyBorder="1"/>
    <xf numFmtId="10" fontId="0" fillId="0" borderId="0" xfId="1" applyNumberFormat="1" applyFont="1" applyBorder="1"/>
    <xf numFmtId="0" fontId="44" fillId="26" borderId="8" xfId="0" applyFont="1" applyFill="1" applyBorder="1" applyAlignment="1">
      <alignment horizontal="left"/>
    </xf>
    <xf numFmtId="48" fontId="44" fillId="26" borderId="12" xfId="3" applyNumberFormat="1" applyFont="1" applyFill="1" applyBorder="1"/>
    <xf numFmtId="0" fontId="0" fillId="17" borderId="8" xfId="0" applyFill="1" applyBorder="1"/>
    <xf numFmtId="48" fontId="48" fillId="17" borderId="12" xfId="3" applyNumberFormat="1" applyFont="1" applyFill="1" applyBorder="1"/>
    <xf numFmtId="0" fontId="17" fillId="17" borderId="8" xfId="0" applyFont="1" applyFill="1" applyBorder="1"/>
    <xf numFmtId="0" fontId="44" fillId="26" borderId="8" xfId="0" applyFont="1" applyFill="1" applyBorder="1" applyAlignment="1">
      <alignment horizontal="right"/>
    </xf>
    <xf numFmtId="0" fontId="17" fillId="0" borderId="67" xfId="0" applyFont="1" applyBorder="1"/>
    <xf numFmtId="0" fontId="49" fillId="25" borderId="9" xfId="0" applyFont="1" applyFill="1" applyBorder="1"/>
    <xf numFmtId="48" fontId="43" fillId="25" borderId="10" xfId="0" applyNumberFormat="1" applyFont="1" applyFill="1" applyBorder="1"/>
    <xf numFmtId="48" fontId="43" fillId="25" borderId="13" xfId="0" applyNumberFormat="1" applyFont="1" applyFill="1" applyBorder="1"/>
    <xf numFmtId="0" fontId="45" fillId="0" borderId="9" xfId="0" applyFont="1" applyBorder="1"/>
    <xf numFmtId="0" fontId="45" fillId="10" borderId="9" xfId="0" applyFont="1" applyFill="1" applyBorder="1"/>
    <xf numFmtId="9" fontId="0" fillId="0" borderId="0" xfId="1" applyFont="1" applyAlignment="1">
      <alignment horizontal="center"/>
    </xf>
    <xf numFmtId="170" fontId="0" fillId="0" borderId="0" xfId="0" applyNumberFormat="1" applyAlignment="1">
      <alignment horizontal="right" indent="1"/>
    </xf>
    <xf numFmtId="170" fontId="0" fillId="0" borderId="0" xfId="0" applyNumberFormat="1"/>
    <xf numFmtId="0" fontId="7" fillId="0" borderId="0" xfId="0" applyFont="1"/>
    <xf numFmtId="0" fontId="7" fillId="0" borderId="0" xfId="0" applyFont="1" applyAlignment="1">
      <alignment vertical="center"/>
    </xf>
    <xf numFmtId="3" fontId="0" fillId="0" borderId="0" xfId="0" applyNumberFormat="1" applyAlignment="1">
      <alignment vertical="center"/>
    </xf>
    <xf numFmtId="0" fontId="2" fillId="0" borderId="0" xfId="0" applyFont="1" applyAlignment="1">
      <alignment horizontal="center" vertical="center"/>
    </xf>
    <xf numFmtId="0" fontId="0" fillId="23" borderId="0" xfId="0" applyFill="1"/>
    <xf numFmtId="0" fontId="0" fillId="0" borderId="3" xfId="0" applyBorder="1" applyAlignment="1">
      <alignment horizontal="center"/>
    </xf>
    <xf numFmtId="0" fontId="0" fillId="0" borderId="8" xfId="0" applyBorder="1" applyAlignment="1">
      <alignment horizontal="center"/>
    </xf>
    <xf numFmtId="3" fontId="0" fillId="0" borderId="0" xfId="0" applyNumberFormat="1" applyAlignment="1">
      <alignment horizontal="center"/>
    </xf>
    <xf numFmtId="9" fontId="0" fillId="0" borderId="8" xfId="1" applyFont="1" applyBorder="1" applyAlignment="1">
      <alignment horizontal="center"/>
    </xf>
    <xf numFmtId="9" fontId="0" fillId="0" borderId="0" xfId="1" applyFont="1" applyBorder="1" applyAlignment="1">
      <alignment horizontal="center"/>
    </xf>
    <xf numFmtId="9" fontId="0" fillId="0" borderId="9" xfId="1" applyFont="1" applyBorder="1" applyAlignment="1">
      <alignment horizontal="center"/>
    </xf>
    <xf numFmtId="9" fontId="0" fillId="0" borderId="10" xfId="1" applyFont="1" applyBorder="1" applyAlignment="1">
      <alignment horizontal="center"/>
    </xf>
    <xf numFmtId="0" fontId="0" fillId="10" borderId="1" xfId="0" applyFill="1"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2" fillId="0" borderId="4" xfId="0" applyFont="1" applyBorder="1" applyAlignment="1">
      <alignment horizontal="left" vertical="center" indent="1"/>
    </xf>
    <xf numFmtId="0" fontId="0" fillId="10" borderId="0" xfId="0" applyFill="1" applyAlignment="1">
      <alignment horizontal="center" vertical="center"/>
    </xf>
    <xf numFmtId="0" fontId="2" fillId="0" borderId="10" xfId="0" applyFont="1" applyBorder="1"/>
    <xf numFmtId="171" fontId="0" fillId="15" borderId="4" xfId="0" applyNumberFormat="1" applyFill="1" applyBorder="1"/>
    <xf numFmtId="171" fontId="0" fillId="15" borderId="5" xfId="0" applyNumberFormat="1" applyFill="1" applyBorder="1"/>
    <xf numFmtId="171" fontId="0" fillId="15" borderId="6" xfId="0" applyNumberFormat="1" applyFill="1" applyBorder="1"/>
    <xf numFmtId="0" fontId="0" fillId="10" borderId="12" xfId="0" applyFill="1" applyBorder="1"/>
    <xf numFmtId="3" fontId="0" fillId="10" borderId="2" xfId="0" applyNumberFormat="1" applyFill="1" applyBorder="1" applyAlignment="1">
      <alignment horizontal="center" vertical="center"/>
    </xf>
    <xf numFmtId="9" fontId="0" fillId="0" borderId="4" xfId="1" applyFont="1" applyFill="1" applyBorder="1" applyAlignment="1">
      <alignment horizontal="center" vertical="center"/>
    </xf>
    <xf numFmtId="9" fontId="0" fillId="0" borderId="6" xfId="1" applyFont="1" applyFill="1" applyBorder="1" applyAlignment="1">
      <alignment horizontal="center" vertical="center"/>
    </xf>
    <xf numFmtId="0" fontId="53" fillId="0" borderId="0" xfId="0" applyFont="1"/>
    <xf numFmtId="0" fontId="43" fillId="0" borderId="0" xfId="0" applyFont="1"/>
    <xf numFmtId="0" fontId="44" fillId="0" borderId="0" xfId="0" applyFont="1" applyAlignment="1">
      <alignment horizontal="center" vertical="center"/>
    </xf>
    <xf numFmtId="0" fontId="45" fillId="0" borderId="0" xfId="0" applyFont="1"/>
    <xf numFmtId="0" fontId="44" fillId="0" borderId="0" xfId="0" applyFont="1"/>
    <xf numFmtId="0" fontId="43" fillId="25" borderId="0" xfId="0" applyFont="1" applyFill="1"/>
    <xf numFmtId="48" fontId="43" fillId="25" borderId="0" xfId="0" applyNumberFormat="1" applyFont="1" applyFill="1"/>
    <xf numFmtId="0" fontId="0" fillId="14" borderId="0" xfId="0" applyFill="1" applyAlignment="1">
      <alignment horizontal="center" vertical="center"/>
    </xf>
    <xf numFmtId="48" fontId="43" fillId="0" borderId="0" xfId="1" applyNumberFormat="1" applyFont="1" applyFill="1" applyBorder="1"/>
    <xf numFmtId="2" fontId="54" fillId="29" borderId="0" xfId="0" applyNumberFormat="1" applyFont="1" applyFill="1"/>
    <xf numFmtId="0" fontId="55" fillId="0" borderId="0" xfId="0" applyFont="1"/>
    <xf numFmtId="0" fontId="45" fillId="25" borderId="8" xfId="0" applyFont="1" applyFill="1" applyBorder="1"/>
    <xf numFmtId="0" fontId="45" fillId="27" borderId="9" xfId="0" applyFont="1" applyFill="1" applyBorder="1"/>
    <xf numFmtId="0" fontId="45" fillId="0" borderId="1" xfId="0" applyFont="1" applyBorder="1"/>
    <xf numFmtId="0" fontId="18" fillId="0" borderId="2" xfId="0" applyFont="1" applyBorder="1"/>
    <xf numFmtId="0" fontId="18" fillId="0" borderId="3" xfId="0" applyFont="1" applyBorder="1"/>
    <xf numFmtId="0" fontId="59" fillId="0" borderId="8" xfId="0" applyFont="1" applyBorder="1" applyAlignment="1">
      <alignment horizontal="right"/>
    </xf>
    <xf numFmtId="0" fontId="18" fillId="0" borderId="10" xfId="0" applyFont="1" applyBorder="1"/>
    <xf numFmtId="0" fontId="18" fillId="0" borderId="13" xfId="0" applyFont="1" applyBorder="1"/>
    <xf numFmtId="48" fontId="45" fillId="27" borderId="10" xfId="0" applyNumberFormat="1" applyFont="1" applyFill="1" applyBorder="1"/>
    <xf numFmtId="48" fontId="59" fillId="0" borderId="0" xfId="3" applyNumberFormat="1" applyFont="1" applyFill="1" applyBorder="1"/>
    <xf numFmtId="48" fontId="59" fillId="0" borderId="12" xfId="3" applyNumberFormat="1" applyFont="1" applyFill="1" applyBorder="1"/>
    <xf numFmtId="48" fontId="45" fillId="0" borderId="0" xfId="0" applyNumberFormat="1" applyFont="1"/>
    <xf numFmtId="48" fontId="45" fillId="0" borderId="12" xfId="1" applyNumberFormat="1" applyFont="1" applyFill="1" applyBorder="1"/>
    <xf numFmtId="48" fontId="46" fillId="0" borderId="0" xfId="3" applyNumberFormat="1" applyFont="1" applyFill="1" applyBorder="1"/>
    <xf numFmtId="48" fontId="46" fillId="0" borderId="12" xfId="3" applyNumberFormat="1" applyFont="1" applyFill="1" applyBorder="1"/>
    <xf numFmtId="48" fontId="45" fillId="0" borderId="10" xfId="0" applyNumberFormat="1" applyFont="1" applyBorder="1"/>
    <xf numFmtId="48" fontId="45" fillId="0" borderId="13" xfId="0" applyNumberFormat="1" applyFont="1" applyBorder="1"/>
    <xf numFmtId="0" fontId="45" fillId="0" borderId="2" xfId="0" applyFont="1" applyBorder="1"/>
    <xf numFmtId="167" fontId="45" fillId="0" borderId="3" xfId="1" applyNumberFormat="1" applyFont="1" applyFill="1" applyBorder="1"/>
    <xf numFmtId="48" fontId="59" fillId="0" borderId="8" xfId="3" applyNumberFormat="1" applyFont="1" applyFill="1" applyBorder="1"/>
    <xf numFmtId="48" fontId="46" fillId="0" borderId="8" xfId="3" applyNumberFormat="1" applyFont="1" applyFill="1" applyBorder="1"/>
    <xf numFmtId="48" fontId="45" fillId="0" borderId="9" xfId="0" applyNumberFormat="1" applyFont="1" applyBorder="1"/>
    <xf numFmtId="0" fontId="32" fillId="0" borderId="8" xfId="0" applyFont="1" applyBorder="1" applyAlignment="1">
      <alignment horizontal="right"/>
    </xf>
    <xf numFmtId="48" fontId="44" fillId="0" borderId="0" xfId="3" applyNumberFormat="1" applyFont="1" applyFill="1" applyBorder="1"/>
    <xf numFmtId="48" fontId="43" fillId="27" borderId="0" xfId="0" applyNumberFormat="1" applyFont="1" applyFill="1"/>
    <xf numFmtId="0" fontId="18" fillId="5" borderId="8" xfId="0" applyFont="1" applyFill="1" applyBorder="1"/>
    <xf numFmtId="0" fontId="59" fillId="26" borderId="8" xfId="0" applyFont="1" applyFill="1" applyBorder="1" applyAlignment="1">
      <alignment horizontal="right"/>
    </xf>
    <xf numFmtId="9" fontId="18" fillId="0" borderId="0" xfId="0" applyNumberFormat="1" applyFont="1"/>
    <xf numFmtId="2" fontId="18" fillId="0" borderId="0" xfId="0" applyNumberFormat="1" applyFont="1"/>
    <xf numFmtId="0" fontId="2" fillId="0" borderId="2" xfId="0" applyFont="1" applyBorder="1"/>
    <xf numFmtId="0" fontId="2" fillId="0" borderId="3" xfId="0" applyFont="1" applyBorder="1"/>
    <xf numFmtId="9" fontId="0" fillId="0" borderId="6" xfId="1" applyFont="1" applyBorder="1"/>
    <xf numFmtId="0" fontId="43" fillId="25" borderId="1" xfId="0" applyFont="1" applyFill="1" applyBorder="1"/>
    <xf numFmtId="0" fontId="43" fillId="25" borderId="2" xfId="0" applyFont="1" applyFill="1" applyBorder="1"/>
    <xf numFmtId="167" fontId="43" fillId="25" borderId="3" xfId="1" applyNumberFormat="1" applyFont="1" applyFill="1" applyBorder="1"/>
    <xf numFmtId="48" fontId="48" fillId="26" borderId="8" xfId="3" applyNumberFormat="1" applyFont="1" applyFill="1" applyBorder="1"/>
    <xf numFmtId="48" fontId="48" fillId="0" borderId="8" xfId="3" applyNumberFormat="1" applyFont="1" applyBorder="1"/>
    <xf numFmtId="48" fontId="47" fillId="0" borderId="8" xfId="3" applyNumberFormat="1" applyFont="1" applyBorder="1"/>
    <xf numFmtId="48" fontId="44" fillId="0" borderId="8" xfId="3" applyNumberFormat="1" applyFont="1" applyBorder="1"/>
    <xf numFmtId="48" fontId="0" fillId="0" borderId="8" xfId="0" applyNumberFormat="1" applyBorder="1"/>
    <xf numFmtId="48" fontId="43" fillId="0" borderId="0" xfId="0" applyNumberFormat="1" applyFont="1"/>
    <xf numFmtId="0" fontId="46" fillId="0" borderId="1" xfId="0" applyFont="1" applyBorder="1"/>
    <xf numFmtId="9" fontId="18" fillId="0" borderId="2" xfId="0" applyNumberFormat="1" applyFont="1" applyBorder="1"/>
    <xf numFmtId="0" fontId="45" fillId="27" borderId="8" xfId="0" applyFont="1" applyFill="1" applyBorder="1"/>
    <xf numFmtId="9" fontId="18" fillId="0" borderId="10" xfId="0" applyNumberFormat="1" applyFont="1" applyBorder="1"/>
    <xf numFmtId="0" fontId="43" fillId="25" borderId="12" xfId="0" applyFont="1" applyFill="1" applyBorder="1"/>
    <xf numFmtId="48" fontId="43" fillId="27" borderId="8" xfId="0" applyNumberFormat="1" applyFont="1" applyFill="1" applyBorder="1"/>
    <xf numFmtId="48" fontId="43" fillId="27" borderId="12" xfId="0" applyNumberFormat="1" applyFont="1" applyFill="1" applyBorder="1"/>
    <xf numFmtId="48" fontId="45" fillId="27" borderId="9" xfId="0" applyNumberFormat="1" applyFont="1" applyFill="1" applyBorder="1"/>
    <xf numFmtId="168" fontId="44" fillId="26" borderId="0" xfId="3" applyNumberFormat="1" applyFont="1" applyFill="1" applyBorder="1"/>
    <xf numFmtId="168" fontId="44" fillId="26" borderId="8" xfId="3" applyNumberFormat="1" applyFont="1" applyFill="1" applyBorder="1"/>
    <xf numFmtId="168" fontId="44" fillId="26" borderId="12" xfId="3" applyNumberFormat="1" applyFont="1" applyFill="1" applyBorder="1"/>
    <xf numFmtId="48" fontId="48" fillId="17" borderId="8" xfId="3" applyNumberFormat="1" applyFont="1" applyFill="1" applyBorder="1"/>
    <xf numFmtId="48" fontId="43" fillId="25" borderId="8" xfId="0" applyNumberFormat="1" applyFont="1" applyFill="1" applyBorder="1"/>
    <xf numFmtId="48" fontId="44" fillId="26" borderId="8" xfId="3" applyNumberFormat="1" applyFont="1" applyFill="1" applyBorder="1"/>
    <xf numFmtId="48" fontId="48" fillId="0" borderId="67" xfId="3" applyNumberFormat="1" applyFont="1" applyBorder="1"/>
    <xf numFmtId="48" fontId="43" fillId="25" borderId="9" xfId="0" applyNumberFormat="1" applyFont="1" applyFill="1" applyBorder="1"/>
    <xf numFmtId="0" fontId="61" fillId="30" borderId="4" xfId="0" applyFont="1" applyFill="1" applyBorder="1" applyAlignment="1">
      <alignment vertical="center"/>
    </xf>
    <xf numFmtId="0" fontId="0" fillId="30" borderId="5" xfId="0" applyFill="1" applyBorder="1" applyAlignment="1">
      <alignment vertical="center"/>
    </xf>
    <xf numFmtId="0" fontId="0" fillId="30" borderId="6" xfId="0" applyFill="1" applyBorder="1" applyAlignment="1">
      <alignment vertical="center"/>
    </xf>
    <xf numFmtId="0" fontId="2" fillId="0" borderId="11" xfId="0" applyFont="1" applyBorder="1" applyAlignment="1">
      <alignment horizontal="center" vertical="center"/>
    </xf>
    <xf numFmtId="2" fontId="1" fillId="0" borderId="2" xfId="0" applyNumberFormat="1" applyFont="1" applyBorder="1" applyAlignment="1">
      <alignment vertical="center"/>
    </xf>
    <xf numFmtId="2" fontId="0" fillId="0" borderId="7" xfId="0" applyNumberFormat="1" applyBorder="1" applyAlignment="1">
      <alignment horizontal="center" vertical="center"/>
    </xf>
    <xf numFmtId="0" fontId="1" fillId="0" borderId="0" xfId="0" applyFont="1" applyAlignment="1">
      <alignment vertical="center"/>
    </xf>
    <xf numFmtId="2" fontId="0" fillId="0" borderId="14" xfId="0" applyNumberFormat="1" applyBorder="1" applyAlignment="1">
      <alignment horizontal="center" vertical="center"/>
    </xf>
    <xf numFmtId="0" fontId="1" fillId="0" borderId="5" xfId="0" applyFont="1" applyBorder="1" applyAlignment="1">
      <alignment vertical="center"/>
    </xf>
    <xf numFmtId="2" fontId="2" fillId="0" borderId="11" xfId="0" applyNumberFormat="1" applyFont="1" applyBorder="1" applyAlignment="1">
      <alignment horizontal="center" vertical="center"/>
    </xf>
    <xf numFmtId="0" fontId="61" fillId="31" borderId="4" xfId="0" applyFont="1" applyFill="1" applyBorder="1" applyAlignment="1">
      <alignment vertical="center"/>
    </xf>
    <xf numFmtId="0" fontId="0" fillId="31" borderId="5" xfId="0" applyFill="1" applyBorder="1" applyAlignment="1">
      <alignment vertical="center"/>
    </xf>
    <xf numFmtId="0" fontId="0" fillId="31" borderId="6" xfId="0" applyFill="1" applyBorder="1" applyAlignment="1">
      <alignment vertical="center"/>
    </xf>
    <xf numFmtId="0" fontId="62" fillId="32" borderId="4" xfId="0" applyFont="1" applyFill="1" applyBorder="1" applyAlignment="1">
      <alignment vertical="center"/>
    </xf>
    <xf numFmtId="0" fontId="60" fillId="32" borderId="5" xfId="0" applyFont="1" applyFill="1" applyBorder="1" applyAlignment="1">
      <alignment vertical="center"/>
    </xf>
    <xf numFmtId="0" fontId="60" fillId="32" borderId="6" xfId="0" applyFont="1" applyFill="1" applyBorder="1" applyAlignment="1">
      <alignment vertical="center"/>
    </xf>
    <xf numFmtId="0" fontId="62" fillId="33" borderId="4" xfId="0" applyFont="1" applyFill="1" applyBorder="1" applyAlignment="1">
      <alignment vertical="center"/>
    </xf>
    <xf numFmtId="0" fontId="60" fillId="33" borderId="5" xfId="0" applyFont="1" applyFill="1" applyBorder="1" applyAlignment="1">
      <alignment vertical="center"/>
    </xf>
    <xf numFmtId="0" fontId="60" fillId="33" borderId="6" xfId="0" applyFont="1" applyFill="1" applyBorder="1" applyAlignment="1">
      <alignment vertical="center"/>
    </xf>
    <xf numFmtId="0" fontId="1" fillId="0" borderId="10" xfId="0" applyFont="1" applyBorder="1" applyAlignment="1">
      <alignment vertical="center"/>
    </xf>
    <xf numFmtId="0" fontId="8" fillId="0" borderId="4" xfId="4" applyFont="1" applyBorder="1" applyAlignment="1" applyProtection="1">
      <alignment vertical="center"/>
      <protection locked="0"/>
    </xf>
    <xf numFmtId="0" fontId="8" fillId="0" borderId="5" xfId="4" applyFont="1" applyBorder="1" applyAlignment="1" applyProtection="1">
      <alignment vertical="center"/>
      <protection locked="0"/>
    </xf>
    <xf numFmtId="0" fontId="18" fillId="0" borderId="11" xfId="4" applyFont="1" applyBorder="1" applyAlignment="1" applyProtection="1">
      <alignment horizontal="center" vertical="center"/>
      <protection locked="0"/>
    </xf>
    <xf numFmtId="0" fontId="18" fillId="0" borderId="1" xfId="4" applyFont="1" applyBorder="1" applyAlignment="1" applyProtection="1">
      <alignment vertical="center"/>
      <protection locked="0"/>
    </xf>
    <xf numFmtId="0" fontId="18" fillId="0" borderId="2" xfId="4" applyFont="1" applyBorder="1" applyAlignment="1" applyProtection="1">
      <alignment vertical="center"/>
      <protection locked="0"/>
    </xf>
    <xf numFmtId="4" fontId="18" fillId="16" borderId="7" xfId="4" applyNumberFormat="1" applyFont="1" applyFill="1" applyBorder="1" applyAlignment="1" applyProtection="1">
      <alignment horizontal="center" vertical="center"/>
      <protection locked="0"/>
    </xf>
    <xf numFmtId="0" fontId="18" fillId="0" borderId="8" xfId="4" applyFont="1" applyBorder="1" applyAlignment="1" applyProtection="1">
      <alignment vertical="center"/>
      <protection locked="0"/>
    </xf>
    <xf numFmtId="0" fontId="18" fillId="0" borderId="0" xfId="4" applyFont="1" applyAlignment="1" applyProtection="1">
      <alignment vertical="center"/>
      <protection locked="0"/>
    </xf>
    <xf numFmtId="4" fontId="18" fillId="0" borderId="14" xfId="4" applyNumberFormat="1" applyFont="1" applyBorder="1" applyAlignment="1" applyProtection="1">
      <alignment horizontal="center" vertical="center"/>
      <protection locked="0"/>
    </xf>
    <xf numFmtId="0" fontId="18" fillId="0" borderId="9" xfId="4" applyFont="1" applyBorder="1" applyAlignment="1" applyProtection="1">
      <alignment vertical="center"/>
      <protection locked="0"/>
    </xf>
    <xf numFmtId="0" fontId="18" fillId="0" borderId="10" xfId="4" applyFont="1" applyBorder="1" applyAlignment="1" applyProtection="1">
      <alignment vertical="center"/>
      <protection locked="0"/>
    </xf>
    <xf numFmtId="4" fontId="18" fillId="16" borderId="24" xfId="4" applyNumberFormat="1" applyFont="1" applyFill="1" applyBorder="1" applyAlignment="1" applyProtection="1">
      <alignment horizontal="center" vertical="center"/>
      <protection locked="0"/>
    </xf>
    <xf numFmtId="0" fontId="18" fillId="0" borderId="4" xfId="4" applyFont="1" applyBorder="1" applyAlignment="1" applyProtection="1">
      <alignment vertical="center"/>
      <protection locked="0"/>
    </xf>
    <xf numFmtId="167" fontId="43" fillId="0" borderId="0" xfId="1" applyNumberFormat="1" applyFont="1" applyFill="1" applyBorder="1"/>
    <xf numFmtId="168" fontId="47" fillId="0" borderId="0" xfId="3" applyNumberFormat="1" applyFont="1" applyFill="1" applyBorder="1"/>
    <xf numFmtId="0" fontId="62" fillId="18" borderId="4" xfId="0" applyFont="1" applyFill="1" applyBorder="1" applyAlignment="1">
      <alignment vertical="center"/>
    </xf>
    <xf numFmtId="0" fontId="60" fillId="18" borderId="5" xfId="0" applyFont="1" applyFill="1" applyBorder="1" applyAlignment="1">
      <alignment vertical="center"/>
    </xf>
    <xf numFmtId="0" fontId="60" fillId="18" borderId="6" xfId="0" applyFont="1" applyFill="1" applyBorder="1" applyAlignment="1">
      <alignment vertical="center"/>
    </xf>
    <xf numFmtId="48" fontId="48" fillId="10" borderId="8" xfId="3" applyNumberFormat="1" applyFont="1" applyFill="1" applyBorder="1"/>
    <xf numFmtId="48" fontId="48" fillId="10" borderId="0" xfId="3" applyNumberFormat="1" applyFont="1" applyFill="1" applyBorder="1"/>
    <xf numFmtId="48" fontId="48" fillId="10" borderId="12" xfId="3" applyNumberFormat="1" applyFont="1" applyFill="1" applyBorder="1"/>
    <xf numFmtId="0" fontId="8" fillId="0" borderId="1" xfId="4" applyFont="1" applyBorder="1" applyAlignment="1" applyProtection="1">
      <alignment vertical="center"/>
      <protection locked="0"/>
    </xf>
    <xf numFmtId="0" fontId="8" fillId="0" borderId="2" xfId="4" applyFont="1" applyBorder="1" applyAlignment="1" applyProtection="1">
      <alignment vertical="center"/>
      <protection locked="0"/>
    </xf>
    <xf numFmtId="0" fontId="61" fillId="9" borderId="4" xfId="0" applyFont="1" applyFill="1" applyBorder="1" applyAlignment="1">
      <alignment vertical="center"/>
    </xf>
    <xf numFmtId="0" fontId="0" fillId="9" borderId="5" xfId="0" applyFill="1" applyBorder="1" applyAlignment="1">
      <alignment vertical="center"/>
    </xf>
    <xf numFmtId="0" fontId="0" fillId="9" borderId="6" xfId="0" applyFill="1" applyBorder="1" applyAlignment="1">
      <alignment vertical="center"/>
    </xf>
    <xf numFmtId="2" fontId="0" fillId="16" borderId="7" xfId="0" applyNumberFormat="1" applyFill="1" applyBorder="1" applyAlignment="1">
      <alignment horizontal="center" vertical="center"/>
    </xf>
    <xf numFmtId="2" fontId="0" fillId="16" borderId="24" xfId="0" applyNumberFormat="1" applyFill="1" applyBorder="1" applyAlignment="1">
      <alignment horizontal="center" vertical="center"/>
    </xf>
    <xf numFmtId="48" fontId="48" fillId="10" borderId="14" xfId="3" applyNumberFormat="1" applyFont="1" applyFill="1" applyBorder="1"/>
    <xf numFmtId="48" fontId="48" fillId="0" borderId="14" xfId="3" applyNumberFormat="1" applyFont="1" applyBorder="1"/>
    <xf numFmtId="48" fontId="48" fillId="0" borderId="9" xfId="3" applyNumberFormat="1" applyFont="1" applyBorder="1"/>
    <xf numFmtId="48" fontId="48" fillId="0" borderId="24" xfId="3" applyNumberFormat="1" applyFont="1" applyBorder="1"/>
    <xf numFmtId="9" fontId="18" fillId="10" borderId="10" xfId="0" applyNumberFormat="1" applyFont="1" applyFill="1" applyBorder="1"/>
    <xf numFmtId="0" fontId="18" fillId="10" borderId="10" xfId="0" applyFont="1" applyFill="1" applyBorder="1"/>
    <xf numFmtId="0" fontId="18" fillId="10" borderId="13" xfId="0" applyFont="1" applyFill="1" applyBorder="1"/>
    <xf numFmtId="48" fontId="45" fillId="10" borderId="9" xfId="0" applyNumberFormat="1" applyFont="1" applyFill="1" applyBorder="1"/>
    <xf numFmtId="48" fontId="45" fillId="10" borderId="10" xfId="0" applyNumberFormat="1" applyFont="1" applyFill="1" applyBorder="1"/>
    <xf numFmtId="48" fontId="45" fillId="10" borderId="13" xfId="0" applyNumberFormat="1" applyFont="1" applyFill="1" applyBorder="1"/>
    <xf numFmtId="48" fontId="43" fillId="10" borderId="1" xfId="0" applyNumberFormat="1" applyFont="1" applyFill="1" applyBorder="1"/>
    <xf numFmtId="48" fontId="43" fillId="10" borderId="2" xfId="0" applyNumberFormat="1" applyFont="1" applyFill="1" applyBorder="1"/>
    <xf numFmtId="48" fontId="43" fillId="10" borderId="3" xfId="0" applyNumberFormat="1" applyFont="1" applyFill="1" applyBorder="1"/>
    <xf numFmtId="0" fontId="59" fillId="26" borderId="1" xfId="0" applyFont="1" applyFill="1" applyBorder="1" applyAlignment="1">
      <alignment horizontal="right"/>
    </xf>
    <xf numFmtId="48" fontId="46" fillId="10" borderId="8" xfId="0" applyNumberFormat="1" applyFont="1" applyFill="1" applyBorder="1"/>
    <xf numFmtId="48" fontId="46" fillId="10" borderId="14" xfId="0" applyNumberFormat="1" applyFont="1" applyFill="1" applyBorder="1"/>
    <xf numFmtId="0" fontId="49" fillId="25" borderId="8" xfId="0" applyFont="1" applyFill="1" applyBorder="1"/>
    <xf numFmtId="0" fontId="44" fillId="26" borderId="1" xfId="0" applyFont="1" applyFill="1" applyBorder="1" applyAlignment="1">
      <alignment horizontal="right"/>
    </xf>
    <xf numFmtId="48" fontId="0" fillId="0" borderId="14" xfId="0" applyNumberFormat="1" applyBorder="1"/>
    <xf numFmtId="48" fontId="0" fillId="0" borderId="24" xfId="0" applyNumberFormat="1" applyBorder="1"/>
    <xf numFmtId="48" fontId="46" fillId="10" borderId="9" xfId="0" applyNumberFormat="1" applyFont="1" applyFill="1" applyBorder="1"/>
    <xf numFmtId="48" fontId="46" fillId="10" borderId="24" xfId="0" applyNumberFormat="1" applyFont="1" applyFill="1" applyBorder="1"/>
    <xf numFmtId="0" fontId="18" fillId="23" borderId="0" xfId="0" applyFont="1" applyFill="1"/>
    <xf numFmtId="9" fontId="18" fillId="23" borderId="0" xfId="0" applyNumberFormat="1" applyFont="1" applyFill="1"/>
    <xf numFmtId="48" fontId="48" fillId="23" borderId="0" xfId="3" applyNumberFormat="1" applyFont="1" applyFill="1" applyBorder="1"/>
    <xf numFmtId="0" fontId="0" fillId="23" borderId="4" xfId="0" applyFill="1" applyBorder="1"/>
    <xf numFmtId="0" fontId="0" fillId="23" borderId="11" xfId="0" applyFill="1" applyBorder="1"/>
    <xf numFmtId="48" fontId="0" fillId="26" borderId="14" xfId="0" applyNumberFormat="1" applyFill="1" applyBorder="1"/>
    <xf numFmtId="48" fontId="0" fillId="26" borderId="24" xfId="0" applyNumberFormat="1" applyFill="1" applyBorder="1"/>
    <xf numFmtId="48" fontId="18" fillId="26" borderId="7" xfId="0" applyNumberFormat="1" applyFont="1" applyFill="1" applyBorder="1"/>
    <xf numFmtId="48" fontId="18" fillId="26" borderId="14" xfId="0" applyNumberFormat="1" applyFont="1" applyFill="1" applyBorder="1"/>
    <xf numFmtId="9" fontId="0" fillId="26" borderId="14" xfId="1" applyFont="1" applyFill="1" applyBorder="1"/>
    <xf numFmtId="9" fontId="0" fillId="26" borderId="7" xfId="1" applyFont="1" applyFill="1" applyBorder="1"/>
    <xf numFmtId="0" fontId="0" fillId="23" borderId="7" xfId="0" applyFill="1" applyBorder="1"/>
    <xf numFmtId="9" fontId="0" fillId="26" borderId="24" xfId="1" applyFont="1" applyFill="1" applyBorder="1"/>
    <xf numFmtId="48" fontId="18" fillId="10" borderId="7" xfId="0" applyNumberFormat="1" applyFont="1" applyFill="1" applyBorder="1"/>
    <xf numFmtId="48" fontId="0" fillId="10" borderId="14" xfId="0" applyNumberFormat="1" applyFill="1" applyBorder="1"/>
    <xf numFmtId="48" fontId="0" fillId="10" borderId="7" xfId="0" applyNumberFormat="1" applyFill="1" applyBorder="1"/>
    <xf numFmtId="48" fontId="18" fillId="10" borderId="14" xfId="0" applyNumberFormat="1" applyFont="1" applyFill="1" applyBorder="1"/>
    <xf numFmtId="0" fontId="18" fillId="10" borderId="14" xfId="0" applyFont="1" applyFill="1" applyBorder="1"/>
    <xf numFmtId="48" fontId="0" fillId="10" borderId="24" xfId="0" applyNumberFormat="1" applyFill="1" applyBorder="1"/>
    <xf numFmtId="0" fontId="0" fillId="26" borderId="14" xfId="0" applyFill="1" applyBorder="1"/>
    <xf numFmtId="48" fontId="0" fillId="26" borderId="7" xfId="0" applyNumberFormat="1" applyFill="1" applyBorder="1"/>
    <xf numFmtId="0" fontId="0" fillId="19" borderId="6" xfId="0" applyFill="1" applyBorder="1" applyAlignment="1">
      <alignment horizontal="center" vertical="center"/>
    </xf>
    <xf numFmtId="14" fontId="0" fillId="10" borderId="0" xfId="0" applyNumberFormat="1" applyFill="1" applyAlignment="1">
      <alignment horizontal="left"/>
    </xf>
    <xf numFmtId="0" fontId="0" fillId="19" borderId="3" xfId="0" applyFill="1" applyBorder="1" applyAlignment="1">
      <alignment horizontal="center" vertical="center"/>
    </xf>
    <xf numFmtId="3" fontId="0" fillId="19" borderId="12" xfId="0" applyNumberFormat="1" applyFill="1" applyBorder="1" applyAlignment="1">
      <alignment horizontal="center" vertical="center"/>
    </xf>
    <xf numFmtId="3" fontId="0" fillId="19" borderId="13" xfId="0" applyNumberFormat="1" applyFill="1" applyBorder="1" applyAlignment="1">
      <alignment horizontal="center" vertical="center"/>
    </xf>
    <xf numFmtId="3" fontId="0" fillId="19" borderId="3" xfId="0" applyNumberFormat="1" applyFill="1" applyBorder="1" applyAlignment="1">
      <alignment horizontal="center" vertical="center"/>
    </xf>
    <xf numFmtId="2" fontId="0" fillId="0" borderId="0" xfId="0" applyNumberFormat="1" applyAlignment="1">
      <alignment horizontal="center"/>
    </xf>
    <xf numFmtId="2" fontId="0" fillId="0" borderId="9" xfId="0" applyNumberFormat="1" applyBorder="1" applyAlignment="1">
      <alignment horizontal="center"/>
    </xf>
    <xf numFmtId="2" fontId="0" fillId="0" borderId="1" xfId="0" applyNumberFormat="1" applyBorder="1" applyAlignment="1">
      <alignment horizontal="center" vertical="center"/>
    </xf>
    <xf numFmtId="2" fontId="0" fillId="0" borderId="8" xfId="0" applyNumberFormat="1" applyBorder="1" applyAlignment="1">
      <alignment horizontal="center" vertical="center"/>
    </xf>
    <xf numFmtId="2" fontId="0" fillId="0" borderId="0" xfId="0" applyNumberFormat="1" applyAlignment="1">
      <alignment horizontal="center" vertical="center"/>
    </xf>
    <xf numFmtId="2" fontId="0" fillId="0" borderId="9" xfId="0" applyNumberFormat="1" applyBorder="1" applyAlignment="1">
      <alignment horizontal="center" vertical="center"/>
    </xf>
    <xf numFmtId="0" fontId="0" fillId="0" borderId="9" xfId="0" applyBorder="1" applyAlignment="1">
      <alignment horizontal="center" vertical="center"/>
    </xf>
    <xf numFmtId="164" fontId="0" fillId="0" borderId="2" xfId="0" applyNumberFormat="1" applyBorder="1" applyAlignment="1">
      <alignment horizontal="center"/>
    </xf>
    <xf numFmtId="164" fontId="0" fillId="0" borderId="1" xfId="0" applyNumberFormat="1" applyBorder="1" applyAlignment="1">
      <alignment horizontal="center" vertic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10" xfId="0" applyNumberFormat="1" applyBorder="1" applyAlignment="1">
      <alignment horizontal="center" vertical="center"/>
    </xf>
    <xf numFmtId="1" fontId="0" fillId="0" borderId="12" xfId="0" applyNumberFormat="1" applyBorder="1" applyAlignment="1">
      <alignment horizontal="center"/>
    </xf>
    <xf numFmtId="1" fontId="0" fillId="0" borderId="10" xfId="0" applyNumberFormat="1" applyBorder="1" applyAlignment="1">
      <alignment horizontal="center"/>
    </xf>
    <xf numFmtId="1" fontId="0" fillId="0" borderId="13" xfId="0" applyNumberFormat="1" applyBorder="1" applyAlignment="1">
      <alignment horizontal="center"/>
    </xf>
    <xf numFmtId="1" fontId="0" fillId="0" borderId="2" xfId="0" applyNumberFormat="1" applyBorder="1" applyAlignment="1">
      <alignment horizontal="center"/>
    </xf>
    <xf numFmtId="1" fontId="0" fillId="0" borderId="3" xfId="0" applyNumberFormat="1" applyBorder="1" applyAlignment="1">
      <alignment horizontal="center"/>
    </xf>
    <xf numFmtId="164" fontId="0" fillId="0" borderId="3" xfId="0" applyNumberFormat="1" applyBorder="1" applyAlignment="1">
      <alignment horizontal="center"/>
    </xf>
    <xf numFmtId="1" fontId="0" fillId="0" borderId="1" xfId="0" applyNumberFormat="1" applyBorder="1" applyAlignment="1">
      <alignment horizontal="center"/>
    </xf>
    <xf numFmtId="1" fontId="0" fillId="0" borderId="8" xfId="0" applyNumberFormat="1" applyBorder="1" applyAlignment="1">
      <alignment horizontal="center"/>
    </xf>
    <xf numFmtId="1" fontId="0" fillId="0" borderId="9" xfId="0" applyNumberFormat="1" applyBorder="1" applyAlignment="1">
      <alignment horizontal="center"/>
    </xf>
    <xf numFmtId="2" fontId="0" fillId="0" borderId="24" xfId="0" applyNumberFormat="1" applyBorder="1"/>
    <xf numFmtId="1" fontId="0" fillId="0" borderId="8" xfId="0" applyNumberFormat="1" applyBorder="1" applyAlignment="1">
      <alignment horizontal="center" vertical="center"/>
    </xf>
    <xf numFmtId="1" fontId="0" fillId="0" borderId="0" xfId="1" applyNumberFormat="1" applyFont="1" applyFill="1" applyBorder="1" applyAlignment="1">
      <alignment horizontal="center" vertical="center"/>
    </xf>
    <xf numFmtId="1" fontId="0" fillId="0" borderId="9" xfId="0" applyNumberFormat="1" applyBorder="1" applyAlignment="1">
      <alignment horizontal="center" vertical="center"/>
    </xf>
    <xf numFmtId="1" fontId="0" fillId="0" borderId="10" xfId="1" applyNumberFormat="1" applyFont="1" applyFill="1" applyBorder="1" applyAlignment="1">
      <alignment horizontal="center" vertical="center"/>
    </xf>
    <xf numFmtId="3" fontId="0" fillId="0" borderId="1" xfId="0" applyNumberFormat="1" applyBorder="1" applyAlignment="1">
      <alignment horizontal="center"/>
    </xf>
    <xf numFmtId="3" fontId="0" fillId="0" borderId="2" xfId="0" applyNumberFormat="1" applyBorder="1" applyAlignment="1">
      <alignment horizontal="center"/>
    </xf>
    <xf numFmtId="3" fontId="0" fillId="19" borderId="3" xfId="0" applyNumberFormat="1" applyFill="1" applyBorder="1" applyAlignment="1">
      <alignment horizontal="center"/>
    </xf>
    <xf numFmtId="0" fontId="7" fillId="0" borderId="4" xfId="0" applyFont="1" applyBorder="1" applyAlignment="1">
      <alignment horizontal="left" vertical="center" indent="1"/>
    </xf>
    <xf numFmtId="1" fontId="0" fillId="0" borderId="4" xfId="0" applyNumberFormat="1" applyBorder="1" applyAlignment="1">
      <alignment horizontal="center"/>
    </xf>
    <xf numFmtId="1" fontId="0" fillId="0" borderId="5" xfId="0" applyNumberFormat="1" applyBorder="1" applyAlignment="1">
      <alignment horizontal="center"/>
    </xf>
    <xf numFmtId="1" fontId="0" fillId="0" borderId="6" xfId="0" applyNumberFormat="1" applyBorder="1" applyAlignment="1">
      <alignment horizontal="center"/>
    </xf>
    <xf numFmtId="3" fontId="0" fillId="0" borderId="1" xfId="0" applyNumberFormat="1" applyBorder="1" applyAlignment="1">
      <alignment horizontal="right" vertical="center" indent="1"/>
    </xf>
    <xf numFmtId="164" fontId="0" fillId="0" borderId="0" xfId="0" applyNumberFormat="1" applyAlignment="1">
      <alignment horizontal="center" vertical="center"/>
    </xf>
    <xf numFmtId="2" fontId="0" fillId="0" borderId="2" xfId="1" applyNumberFormat="1" applyFont="1" applyFill="1" applyBorder="1" applyAlignment="1">
      <alignment horizontal="center" vertical="center"/>
    </xf>
    <xf numFmtId="164" fontId="0" fillId="0" borderId="2" xfId="1" applyNumberFormat="1" applyFont="1" applyFill="1" applyBorder="1" applyAlignment="1">
      <alignment horizontal="center" vertical="center"/>
    </xf>
    <xf numFmtId="164" fontId="2" fillId="5" borderId="4" xfId="0" applyNumberFormat="1" applyFont="1" applyFill="1" applyBorder="1" applyAlignment="1">
      <alignment horizontal="center"/>
    </xf>
    <xf numFmtId="164" fontId="2" fillId="5" borderId="5" xfId="0" applyNumberFormat="1" applyFont="1" applyFill="1" applyBorder="1" applyAlignment="1">
      <alignment horizontal="center"/>
    </xf>
    <xf numFmtId="164" fontId="2" fillId="5" borderId="6" xfId="0" applyNumberFormat="1" applyFont="1" applyFill="1" applyBorder="1" applyAlignment="1">
      <alignment horizontal="center"/>
    </xf>
    <xf numFmtId="3" fontId="0" fillId="0" borderId="4" xfId="0" applyNumberFormat="1" applyBorder="1" applyAlignment="1">
      <alignment horizontal="center" vertical="center"/>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9" fontId="0" fillId="0" borderId="7" xfId="1" applyFont="1" applyBorder="1"/>
    <xf numFmtId="164" fontId="2" fillId="5" borderId="4" xfId="0" applyNumberFormat="1" applyFont="1" applyFill="1" applyBorder="1" applyAlignment="1">
      <alignment vertical="center"/>
    </xf>
    <xf numFmtId="164" fontId="2" fillId="5" borderId="5" xfId="0" applyNumberFormat="1" applyFont="1" applyFill="1" applyBorder="1" applyAlignment="1">
      <alignment vertical="center"/>
    </xf>
    <xf numFmtId="164" fontId="2" fillId="5" borderId="6" xfId="0" applyNumberFormat="1" applyFont="1" applyFill="1" applyBorder="1" applyAlignment="1">
      <alignment vertical="center"/>
    </xf>
    <xf numFmtId="0" fontId="2" fillId="10" borderId="0" xfId="0" applyFont="1" applyFill="1" applyAlignment="1">
      <alignment horizontal="center"/>
    </xf>
    <xf numFmtId="0" fontId="0" fillId="10" borderId="0" xfId="0" applyFill="1" applyAlignment="1">
      <alignment horizontal="center"/>
    </xf>
    <xf numFmtId="0" fontId="0" fillId="21" borderId="8" xfId="0" applyFill="1" applyBorder="1"/>
    <xf numFmtId="0" fontId="0" fillId="21" borderId="9" xfId="0" applyFill="1" applyBorder="1"/>
    <xf numFmtId="0" fontId="2" fillId="21" borderId="1" xfId="0" applyFont="1" applyFill="1" applyBorder="1"/>
    <xf numFmtId="0" fontId="2" fillId="26" borderId="4" xfId="0" applyFont="1" applyFill="1" applyBorder="1"/>
    <xf numFmtId="11" fontId="2" fillId="10" borderId="1" xfId="0" applyNumberFormat="1" applyFont="1" applyFill="1" applyBorder="1"/>
    <xf numFmtId="11" fontId="2" fillId="10" borderId="2" xfId="0" applyNumberFormat="1" applyFont="1" applyFill="1" applyBorder="1"/>
    <xf numFmtId="11" fontId="2" fillId="10" borderId="3" xfId="0" applyNumberFormat="1" applyFont="1" applyFill="1" applyBorder="1"/>
    <xf numFmtId="11" fontId="0" fillId="10" borderId="8" xfId="3" applyNumberFormat="1" applyFont="1" applyFill="1" applyBorder="1"/>
    <xf numFmtId="11" fontId="0" fillId="10" borderId="0" xfId="3" applyNumberFormat="1" applyFont="1" applyFill="1" applyBorder="1"/>
    <xf numFmtId="11" fontId="0" fillId="10" borderId="12" xfId="3" applyNumberFormat="1" applyFont="1" applyFill="1" applyBorder="1"/>
    <xf numFmtId="11" fontId="2" fillId="10" borderId="8" xfId="0" applyNumberFormat="1" applyFont="1" applyFill="1" applyBorder="1"/>
    <xf numFmtId="11" fontId="2" fillId="10" borderId="0" xfId="0" applyNumberFormat="1" applyFont="1" applyFill="1"/>
    <xf numFmtId="11" fontId="2" fillId="10" borderId="12" xfId="0" applyNumberFormat="1" applyFont="1" applyFill="1" applyBorder="1"/>
    <xf numFmtId="11" fontId="1" fillId="10" borderId="8" xfId="3" applyNumberFormat="1" applyFont="1" applyFill="1" applyBorder="1"/>
    <xf numFmtId="11" fontId="1" fillId="10" borderId="0" xfId="3" applyNumberFormat="1" applyFont="1" applyFill="1" applyBorder="1"/>
    <xf numFmtId="11" fontId="1" fillId="10" borderId="12" xfId="3" applyNumberFormat="1" applyFont="1" applyFill="1" applyBorder="1"/>
    <xf numFmtId="11" fontId="1" fillId="10" borderId="9" xfId="3" applyNumberFormat="1" applyFont="1" applyFill="1" applyBorder="1"/>
    <xf numFmtId="11" fontId="1" fillId="10" borderId="10" xfId="3" applyNumberFormat="1" applyFont="1" applyFill="1" applyBorder="1"/>
    <xf numFmtId="11" fontId="1" fillId="10" borderId="13" xfId="3" applyNumberFormat="1" applyFont="1" applyFill="1" applyBorder="1"/>
    <xf numFmtId="11" fontId="2" fillId="10" borderId="1" xfId="3" applyNumberFormat="1" applyFont="1" applyFill="1" applyBorder="1"/>
    <xf numFmtId="11" fontId="2" fillId="10" borderId="2" xfId="3" applyNumberFormat="1" applyFont="1" applyFill="1" applyBorder="1"/>
    <xf numFmtId="11" fontId="2" fillId="10" borderId="3" xfId="3" applyNumberFormat="1" applyFont="1" applyFill="1" applyBorder="1"/>
    <xf numFmtId="0" fontId="2" fillId="26" borderId="0" xfId="0" applyFont="1" applyFill="1"/>
    <xf numFmtId="0" fontId="2" fillId="26" borderId="9" xfId="0" applyFont="1" applyFill="1" applyBorder="1"/>
    <xf numFmtId="168" fontId="0" fillId="0" borderId="8" xfId="3" applyNumberFormat="1" applyFont="1" applyBorder="1"/>
    <xf numFmtId="168" fontId="0" fillId="0" borderId="0" xfId="3" applyNumberFormat="1" applyFont="1" applyBorder="1"/>
    <xf numFmtId="168" fontId="0" fillId="0" borderId="12" xfId="3" applyNumberFormat="1" applyFont="1" applyBorder="1"/>
    <xf numFmtId="168" fontId="2" fillId="26" borderId="9" xfId="3" applyNumberFormat="1" applyFont="1" applyFill="1" applyBorder="1"/>
    <xf numFmtId="168" fontId="2" fillId="26" borderId="10" xfId="3" applyNumberFormat="1" applyFont="1" applyFill="1" applyBorder="1"/>
    <xf numFmtId="168" fontId="2" fillId="26" borderId="13" xfId="3" applyNumberFormat="1" applyFont="1" applyFill="1" applyBorder="1"/>
    <xf numFmtId="0" fontId="18" fillId="0" borderId="7" xfId="0" applyFont="1" applyBorder="1"/>
    <xf numFmtId="0" fontId="18" fillId="0" borderId="14" xfId="0" applyFont="1" applyBorder="1"/>
    <xf numFmtId="48" fontId="18" fillId="0" borderId="1" xfId="0" applyNumberFormat="1" applyFont="1" applyBorder="1"/>
    <xf numFmtId="48" fontId="18" fillId="0" borderId="3" xfId="0" applyNumberFormat="1" applyFont="1" applyBorder="1"/>
    <xf numFmtId="48" fontId="18" fillId="0" borderId="8" xfId="0" applyNumberFormat="1" applyFont="1" applyBorder="1"/>
    <xf numFmtId="48" fontId="18" fillId="0" borderId="12" xfId="0" applyNumberFormat="1" applyFont="1" applyBorder="1"/>
    <xf numFmtId="48" fontId="18" fillId="0" borderId="9" xfId="0" applyNumberFormat="1" applyFont="1" applyBorder="1"/>
    <xf numFmtId="48" fontId="18" fillId="0" borderId="13" xfId="0" applyNumberFormat="1" applyFont="1" applyBorder="1"/>
    <xf numFmtId="0" fontId="10" fillId="0" borderId="0" xfId="0" applyFont="1" applyAlignment="1">
      <alignment horizontal="center" vertical="center"/>
    </xf>
    <xf numFmtId="0" fontId="7" fillId="14" borderId="1"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64" fillId="0" borderId="0" xfId="0" applyFont="1"/>
    <xf numFmtId="0" fontId="41" fillId="0" borderId="0" xfId="0" applyFont="1"/>
    <xf numFmtId="0" fontId="7" fillId="3" borderId="0" xfId="0" applyFont="1" applyFill="1"/>
    <xf numFmtId="3" fontId="7" fillId="3" borderId="0" xfId="0" applyNumberFormat="1" applyFont="1" applyFill="1"/>
    <xf numFmtId="0" fontId="15" fillId="0" borderId="0" xfId="0" applyFont="1" applyAlignment="1">
      <alignment horizontal="center"/>
    </xf>
    <xf numFmtId="0" fontId="15" fillId="0" borderId="0" xfId="0" applyFont="1" applyAlignment="1">
      <alignment vertical="center"/>
    </xf>
    <xf numFmtId="0" fontId="15" fillId="10" borderId="0" xfId="0" applyFont="1" applyFill="1" applyAlignment="1">
      <alignment horizontal="center"/>
    </xf>
    <xf numFmtId="0" fontId="7" fillId="0" borderId="0" xfId="0" applyFont="1" applyAlignment="1">
      <alignment horizont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4"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164" fontId="7" fillId="10" borderId="1" xfId="0" applyNumberFormat="1" applyFont="1" applyFill="1" applyBorder="1" applyAlignment="1">
      <alignment vertical="center"/>
    </xf>
    <xf numFmtId="164" fontId="7" fillId="10" borderId="2" xfId="0" applyNumberFormat="1" applyFont="1" applyFill="1" applyBorder="1" applyAlignment="1">
      <alignment vertical="center"/>
    </xf>
    <xf numFmtId="164" fontId="7" fillId="10" borderId="2" xfId="0" applyNumberFormat="1" applyFont="1" applyFill="1" applyBorder="1"/>
    <xf numFmtId="164" fontId="7" fillId="10" borderId="3" xfId="0" applyNumberFormat="1" applyFont="1" applyFill="1" applyBorder="1"/>
    <xf numFmtId="14" fontId="7" fillId="0" borderId="0" xfId="0" applyNumberFormat="1" applyFont="1"/>
    <xf numFmtId="0" fontId="7" fillId="0" borderId="8" xfId="0" applyFont="1" applyBorder="1" applyAlignment="1">
      <alignment vertical="center"/>
    </xf>
    <xf numFmtId="0" fontId="7" fillId="0" borderId="0" xfId="0" quotePrefix="1" applyFont="1" applyAlignment="1">
      <alignment vertical="center"/>
    </xf>
    <xf numFmtId="0" fontId="7" fillId="0" borderId="12" xfId="0" quotePrefix="1" applyFont="1" applyBorder="1" applyAlignment="1">
      <alignment vertical="center"/>
    </xf>
    <xf numFmtId="164" fontId="7" fillId="10" borderId="8" xfId="0" quotePrefix="1" applyNumberFormat="1" applyFont="1" applyFill="1" applyBorder="1" applyAlignment="1">
      <alignment vertical="center"/>
    </xf>
    <xf numFmtId="164" fontId="7" fillId="10" borderId="0" xfId="0" quotePrefix="1" applyNumberFormat="1" applyFont="1" applyFill="1" applyAlignment="1">
      <alignment vertical="center"/>
    </xf>
    <xf numFmtId="164" fontId="7" fillId="10" borderId="0" xfId="0" applyNumberFormat="1" applyFont="1" applyFill="1"/>
    <xf numFmtId="164" fontId="7" fillId="10" borderId="12" xfId="0" applyNumberFormat="1" applyFont="1" applyFill="1" applyBorder="1"/>
    <xf numFmtId="0" fontId="15" fillId="0" borderId="4" xfId="0" applyFont="1" applyBorder="1" applyAlignment="1">
      <alignment vertical="center"/>
    </xf>
    <xf numFmtId="0" fontId="15" fillId="0" borderId="5" xfId="0" applyFont="1" applyBorder="1" applyAlignment="1">
      <alignment vertical="center"/>
    </xf>
    <xf numFmtId="0" fontId="15" fillId="0" borderId="5" xfId="0" quotePrefix="1" applyFont="1" applyBorder="1" applyAlignment="1">
      <alignment vertical="center"/>
    </xf>
    <xf numFmtId="0" fontId="15" fillId="0" borderId="6" xfId="0" quotePrefix="1" applyFont="1" applyBorder="1" applyAlignment="1">
      <alignment vertical="center"/>
    </xf>
    <xf numFmtId="164" fontId="15" fillId="10" borderId="4" xfId="0" quotePrefix="1" applyNumberFormat="1" applyFont="1" applyFill="1" applyBorder="1" applyAlignment="1">
      <alignment vertical="center"/>
    </xf>
    <xf numFmtId="164" fontId="15" fillId="10" borderId="5" xfId="0" quotePrefix="1" applyNumberFormat="1" applyFont="1" applyFill="1" applyBorder="1" applyAlignment="1">
      <alignment vertical="center"/>
    </xf>
    <xf numFmtId="164" fontId="15" fillId="10" borderId="5" xfId="0" applyNumberFormat="1" applyFont="1" applyFill="1" applyBorder="1"/>
    <xf numFmtId="164" fontId="15" fillId="10" borderId="6" xfId="0" applyNumberFormat="1" applyFont="1" applyFill="1" applyBorder="1"/>
    <xf numFmtId="0" fontId="15" fillId="0" borderId="0" xfId="0" quotePrefix="1" applyFont="1" applyAlignment="1">
      <alignment vertical="center"/>
    </xf>
    <xf numFmtId="0" fontId="65" fillId="0" borderId="0" xfId="2" applyFont="1"/>
    <xf numFmtId="0" fontId="7" fillId="0" borderId="1" xfId="0" applyFont="1" applyBorder="1"/>
    <xf numFmtId="0" fontId="15" fillId="0" borderId="2" xfId="0" applyFont="1" applyBorder="1" applyAlignment="1">
      <alignment vertical="center"/>
    </xf>
    <xf numFmtId="0" fontId="7" fillId="0" borderId="2" xfId="0" quotePrefix="1" applyFont="1" applyBorder="1" applyAlignment="1">
      <alignment horizontal="left" vertical="center"/>
    </xf>
    <xf numFmtId="0" fontId="15" fillId="0" borderId="3" xfId="0" quotePrefix="1" applyFont="1" applyBorder="1" applyAlignment="1">
      <alignment vertical="center"/>
    </xf>
    <xf numFmtId="0" fontId="15" fillId="0" borderId="1" xfId="0" quotePrefix="1" applyFont="1" applyBorder="1" applyAlignment="1">
      <alignment vertical="center"/>
    </xf>
    <xf numFmtId="0" fontId="15" fillId="0" borderId="2" xfId="0" quotePrefix="1" applyFont="1" applyBorder="1" applyAlignment="1">
      <alignment vertical="center"/>
    </xf>
    <xf numFmtId="0" fontId="7" fillId="0" borderId="2" xfId="0" applyFont="1" applyBorder="1"/>
    <xf numFmtId="0" fontId="7" fillId="0" borderId="12" xfId="0" applyFont="1" applyBorder="1"/>
    <xf numFmtId="0" fontId="7" fillId="0" borderId="8" xfId="0" applyFont="1" applyBorder="1"/>
    <xf numFmtId="0" fontId="7" fillId="0" borderId="0" xfId="0" quotePrefix="1" applyFont="1" applyAlignment="1">
      <alignment horizontal="left" vertical="center"/>
    </xf>
    <xf numFmtId="0" fontId="15" fillId="0" borderId="12" xfId="0" quotePrefix="1" applyFont="1" applyBorder="1" applyAlignment="1">
      <alignment vertical="center"/>
    </xf>
    <xf numFmtId="0" fontId="15" fillId="0" borderId="8" xfId="0" quotePrefix="1" applyFont="1" applyBorder="1" applyAlignment="1">
      <alignment vertical="center"/>
    </xf>
    <xf numFmtId="0" fontId="15" fillId="0" borderId="9" xfId="0" quotePrefix="1" applyFont="1" applyBorder="1" applyAlignment="1">
      <alignment vertical="center"/>
    </xf>
    <xf numFmtId="0" fontId="15" fillId="0" borderId="10" xfId="0" quotePrefix="1" applyFont="1" applyBorder="1" applyAlignment="1">
      <alignment vertical="center"/>
    </xf>
    <xf numFmtId="0" fontId="7" fillId="0" borderId="10" xfId="0" applyFont="1" applyBorder="1"/>
    <xf numFmtId="0" fontId="7" fillId="0" borderId="13" xfId="0" applyFont="1" applyBorder="1"/>
    <xf numFmtId="0" fontId="15" fillId="0" borderId="4" xfId="0" applyFont="1" applyBorder="1"/>
    <xf numFmtId="0" fontId="15" fillId="0" borderId="5" xfId="0" quotePrefix="1" applyFont="1" applyBorder="1" applyAlignment="1">
      <alignment horizontal="left" vertical="center"/>
    </xf>
    <xf numFmtId="0" fontId="15" fillId="0" borderId="4" xfId="0" quotePrefix="1" applyFont="1" applyBorder="1" applyAlignment="1">
      <alignment vertical="center"/>
    </xf>
    <xf numFmtId="0" fontId="7" fillId="0" borderId="5" xfId="0" applyFont="1" applyBorder="1"/>
    <xf numFmtId="9" fontId="7" fillId="0" borderId="5" xfId="1" applyFont="1" applyBorder="1"/>
    <xf numFmtId="9" fontId="7" fillId="0" borderId="6" xfId="1" applyFont="1" applyBorder="1"/>
    <xf numFmtId="0" fontId="7" fillId="0" borderId="4" xfId="0" applyFont="1" applyBorder="1"/>
    <xf numFmtId="0" fontId="15" fillId="10" borderId="1" xfId="0" applyFont="1" applyFill="1" applyBorder="1"/>
    <xf numFmtId="0" fontId="15" fillId="10" borderId="2" xfId="0" applyFont="1" applyFill="1" applyBorder="1" applyAlignment="1">
      <alignment vertical="center"/>
    </xf>
    <xf numFmtId="0" fontId="7" fillId="0" borderId="2" xfId="0" quotePrefix="1" applyFont="1" applyBorder="1" applyAlignment="1">
      <alignment vertical="center"/>
    </xf>
    <xf numFmtId="0" fontId="7" fillId="0" borderId="1" xfId="0" quotePrefix="1" applyFont="1" applyBorder="1" applyAlignment="1">
      <alignment vertical="center"/>
    </xf>
    <xf numFmtId="0" fontId="7" fillId="0" borderId="3" xfId="0" applyFont="1" applyBorder="1"/>
    <xf numFmtId="0" fontId="7" fillId="10" borderId="8" xfId="0" applyFont="1" applyFill="1" applyBorder="1"/>
    <xf numFmtId="0" fontId="15" fillId="10" borderId="0" xfId="0" applyFont="1" applyFill="1" applyAlignment="1">
      <alignment vertical="center"/>
    </xf>
    <xf numFmtId="0" fontId="7" fillId="0" borderId="8" xfId="0" quotePrefix="1" applyFont="1" applyBorder="1" applyAlignment="1">
      <alignment vertical="center"/>
    </xf>
    <xf numFmtId="0" fontId="15" fillId="10" borderId="9" xfId="0" applyFont="1" applyFill="1" applyBorder="1"/>
    <xf numFmtId="0" fontId="15" fillId="10" borderId="10" xfId="0" applyFont="1" applyFill="1" applyBorder="1" applyAlignment="1">
      <alignment vertical="center"/>
    </xf>
    <xf numFmtId="0" fontId="7" fillId="0" borderId="10" xfId="0" quotePrefix="1" applyFont="1" applyBorder="1" applyAlignment="1">
      <alignment vertical="center"/>
    </xf>
    <xf numFmtId="0" fontId="15" fillId="0" borderId="13" xfId="0" quotePrefix="1" applyFont="1" applyBorder="1" applyAlignment="1">
      <alignment vertical="center"/>
    </xf>
    <xf numFmtId="0" fontId="7" fillId="0" borderId="9" xfId="0" quotePrefix="1" applyFont="1" applyBorder="1" applyAlignment="1">
      <alignment vertical="center"/>
    </xf>
    <xf numFmtId="0" fontId="66" fillId="0" borderId="0" xfId="0" applyFont="1"/>
    <xf numFmtId="0" fontId="67" fillId="0" borderId="0" xfId="0" applyFont="1"/>
    <xf numFmtId="0" fontId="41" fillId="0" borderId="0" xfId="0" applyFont="1" applyAlignment="1">
      <alignment vertical="center"/>
    </xf>
    <xf numFmtId="0" fontId="69" fillId="0" borderId="0" xfId="0" applyFont="1" applyAlignment="1">
      <alignment horizontal="left"/>
    </xf>
    <xf numFmtId="0" fontId="69" fillId="0" borderId="0" xfId="0" applyFont="1" applyAlignment="1">
      <alignment horizontal="right"/>
    </xf>
    <xf numFmtId="0" fontId="15" fillId="0" borderId="0" xfId="0" applyFont="1"/>
    <xf numFmtId="0" fontId="7" fillId="0" borderId="9" xfId="0" applyFont="1" applyBorder="1"/>
    <xf numFmtId="3" fontId="7" fillId="0" borderId="10" xfId="0" applyNumberFormat="1" applyFont="1" applyBorder="1"/>
    <xf numFmtId="3" fontId="7" fillId="0" borderId="13" xfId="0" applyNumberFormat="1" applyFont="1" applyBorder="1"/>
    <xf numFmtId="3" fontId="7" fillId="0" borderId="3" xfId="0" applyNumberFormat="1" applyFont="1" applyBorder="1"/>
    <xf numFmtId="3" fontId="7" fillId="0" borderId="2" xfId="0" applyNumberFormat="1" applyFont="1" applyBorder="1"/>
    <xf numFmtId="0" fontId="7" fillId="0" borderId="0" xfId="0" applyFont="1" applyAlignment="1">
      <alignment horizontal="center" vertical="center"/>
    </xf>
    <xf numFmtId="0" fontId="7" fillId="0" borderId="12" xfId="0" applyFont="1" applyBorder="1" applyAlignment="1">
      <alignment horizontal="center" vertical="center"/>
    </xf>
    <xf numFmtId="3" fontId="7" fillId="0" borderId="2"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3" fontId="7" fillId="0" borderId="0" xfId="0" applyNumberFormat="1" applyFont="1" applyAlignment="1">
      <alignment horizontal="right" vertical="center" indent="1"/>
    </xf>
    <xf numFmtId="3" fontId="7" fillId="0" borderId="12" xfId="0" applyNumberFormat="1" applyFont="1" applyBorder="1" applyAlignment="1">
      <alignment horizontal="right" vertical="center" indent="1"/>
    </xf>
    <xf numFmtId="3" fontId="7" fillId="0" borderId="10" xfId="0" applyNumberFormat="1" applyFont="1" applyBorder="1" applyAlignment="1">
      <alignment horizontal="right" vertical="center" indent="1"/>
    </xf>
    <xf numFmtId="3" fontId="7" fillId="0" borderId="10" xfId="0" applyNumberFormat="1" applyFont="1" applyBorder="1" applyAlignment="1">
      <alignment horizontal="center" vertical="center"/>
    </xf>
    <xf numFmtId="3" fontId="7" fillId="0" borderId="13" xfId="0" applyNumberFormat="1" applyFont="1" applyBorder="1" applyAlignment="1">
      <alignment horizontal="right" vertical="center" indent="1"/>
    </xf>
    <xf numFmtId="0" fontId="7" fillId="0" borderId="6" xfId="0" applyFont="1" applyBorder="1"/>
    <xf numFmtId="3" fontId="7" fillId="0" borderId="4" xfId="0" applyNumberFormat="1" applyFont="1" applyBorder="1"/>
    <xf numFmtId="3" fontId="7" fillId="0" borderId="5" xfId="0" applyNumberFormat="1" applyFont="1" applyBorder="1"/>
    <xf numFmtId="3" fontId="7" fillId="0" borderId="6" xfId="0" applyNumberFormat="1" applyFont="1" applyBorder="1"/>
    <xf numFmtId="9" fontId="7" fillId="0" borderId="0" xfId="1" applyFont="1"/>
    <xf numFmtId="165" fontId="7" fillId="0" borderId="0" xfId="0" applyNumberFormat="1" applyFont="1" applyAlignment="1">
      <alignment horizontal="right" vertical="center" indent="1"/>
    </xf>
    <xf numFmtId="165" fontId="7" fillId="0" borderId="12" xfId="0" applyNumberFormat="1" applyFont="1" applyBorder="1" applyAlignment="1">
      <alignment horizontal="right" vertical="center" indent="1"/>
    </xf>
    <xf numFmtId="3" fontId="7" fillId="0" borderId="0" xfId="0" applyNumberFormat="1" applyFont="1" applyAlignment="1">
      <alignment horizontal="center" vertical="center"/>
    </xf>
    <xf numFmtId="165" fontId="7" fillId="22" borderId="0" xfId="0" applyNumberFormat="1" applyFont="1" applyFill="1" applyAlignment="1">
      <alignment horizontal="right" vertical="center" indent="1"/>
    </xf>
    <xf numFmtId="165" fontId="7" fillId="22" borderId="12" xfId="0" applyNumberFormat="1" applyFont="1" applyFill="1" applyBorder="1" applyAlignment="1">
      <alignment horizontal="right" vertical="center" indent="1"/>
    </xf>
    <xf numFmtId="3" fontId="7" fillId="0" borderId="2" xfId="0" applyNumberFormat="1" applyFont="1" applyBorder="1" applyAlignment="1">
      <alignment horizontal="center" vertical="center"/>
    </xf>
    <xf numFmtId="0" fontId="64" fillId="3" borderId="0" xfId="0" applyFont="1" applyFill="1"/>
    <xf numFmtId="0" fontId="41" fillId="0" borderId="10" xfId="0" applyFont="1" applyBorder="1"/>
    <xf numFmtId="0" fontId="41" fillId="0" borderId="2" xfId="0" applyFont="1" applyBorder="1"/>
    <xf numFmtId="0" fontId="70" fillId="0" borderId="8" xfId="0" applyFont="1" applyBorder="1"/>
    <xf numFmtId="0" fontId="41" fillId="0" borderId="5" xfId="0" applyFont="1" applyBorder="1" applyAlignment="1">
      <alignment horizontal="center" vertical="center" wrapText="1"/>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4" xfId="0" applyFont="1" applyBorder="1" applyAlignment="1">
      <alignment horizontal="center" vertical="center" wrapText="1"/>
    </xf>
    <xf numFmtId="0" fontId="68" fillId="0" borderId="1" xfId="0" applyFont="1" applyBorder="1" applyAlignment="1">
      <alignment vertical="center"/>
    </xf>
    <xf numFmtId="0" fontId="41" fillId="0" borderId="2" xfId="0" applyFont="1" applyBorder="1" applyAlignment="1">
      <alignment vertical="center"/>
    </xf>
    <xf numFmtId="0" fontId="41" fillId="0" borderId="3" xfId="0" applyFont="1" applyBorder="1"/>
    <xf numFmtId="0" fontId="69" fillId="0" borderId="9" xfId="0" applyFont="1" applyBorder="1" applyAlignment="1">
      <alignment vertical="center"/>
    </xf>
    <xf numFmtId="0" fontId="41" fillId="0" borderId="10" xfId="0" applyFont="1" applyBorder="1" applyAlignment="1">
      <alignment vertical="center"/>
    </xf>
    <xf numFmtId="0" fontId="69" fillId="0" borderId="13" xfId="0" applyFont="1" applyBorder="1" applyAlignment="1">
      <alignment horizontal="left"/>
    </xf>
    <xf numFmtId="0" fontId="15" fillId="0" borderId="1" xfId="0" applyFont="1" applyBorder="1"/>
    <xf numFmtId="0" fontId="69" fillId="0" borderId="3" xfId="0" applyFont="1" applyBorder="1" applyAlignment="1">
      <alignment horizontal="left"/>
    </xf>
    <xf numFmtId="0" fontId="69" fillId="0" borderId="8" xfId="0" applyFont="1" applyBorder="1" applyAlignment="1">
      <alignment horizontal="left"/>
    </xf>
    <xf numFmtId="0" fontId="69" fillId="0" borderId="9" xfId="0" applyFont="1" applyBorder="1" applyAlignment="1">
      <alignment horizontal="left"/>
    </xf>
    <xf numFmtId="3" fontId="7" fillId="0" borderId="1" xfId="0" applyNumberFormat="1" applyFont="1" applyBorder="1"/>
    <xf numFmtId="3" fontId="7" fillId="0" borderId="9" xfId="0" applyNumberFormat="1" applyFont="1" applyBorder="1"/>
    <xf numFmtId="0" fontId="69" fillId="0" borderId="4" xfId="0" applyFont="1" applyBorder="1" applyAlignment="1">
      <alignment horizontal="left"/>
    </xf>
    <xf numFmtId="11" fontId="7" fillId="0" borderId="6" xfId="0" applyNumberFormat="1" applyFont="1" applyBorder="1"/>
    <xf numFmtId="9" fontId="7" fillId="0" borderId="3" xfId="1" applyFont="1" applyBorder="1"/>
    <xf numFmtId="9" fontId="7" fillId="0" borderId="12" xfId="1" applyFont="1" applyBorder="1"/>
    <xf numFmtId="9" fontId="7" fillId="0" borderId="13" xfId="1" applyFont="1" applyBorder="1"/>
    <xf numFmtId="9" fontId="7" fillId="10" borderId="0" xfId="1" applyFont="1" applyFill="1" applyBorder="1" applyAlignment="1">
      <alignment horizontal="left"/>
    </xf>
    <xf numFmtId="0" fontId="65" fillId="10" borderId="0" xfId="2" applyFont="1" applyFill="1" applyBorder="1"/>
    <xf numFmtId="0" fontId="7" fillId="10" borderId="0" xfId="0" applyFont="1" applyFill="1"/>
    <xf numFmtId="14" fontId="7" fillId="10" borderId="0" xfId="0" applyNumberFormat="1" applyFont="1" applyFill="1"/>
    <xf numFmtId="0" fontId="7" fillId="10" borderId="0" xfId="0" applyFont="1" applyFill="1" applyAlignment="1">
      <alignment wrapText="1"/>
    </xf>
    <xf numFmtId="0" fontId="7" fillId="10" borderId="0" xfId="0" applyFont="1" applyFill="1" applyAlignment="1">
      <alignment horizontal="left" wrapText="1"/>
    </xf>
    <xf numFmtId="0" fontId="7" fillId="10" borderId="0" xfId="0" applyFont="1" applyFill="1" applyAlignment="1">
      <alignment vertical="center"/>
    </xf>
    <xf numFmtId="1" fontId="7" fillId="10" borderId="0" xfId="0" applyNumberFormat="1" applyFont="1" applyFill="1" applyAlignment="1">
      <alignment horizontal="left" vertical="center"/>
    </xf>
    <xf numFmtId="0" fontId="7" fillId="10" borderId="0" xfId="0" applyFont="1" applyFill="1" applyAlignment="1">
      <alignment horizontal="left" vertical="center"/>
    </xf>
    <xf numFmtId="0" fontId="15" fillId="10" borderId="0" xfId="0" applyFont="1" applyFill="1"/>
    <xf numFmtId="0" fontId="7" fillId="10" borderId="0" xfId="0" applyFont="1" applyFill="1" applyAlignment="1">
      <alignment horizontal="center" vertical="center"/>
    </xf>
    <xf numFmtId="165" fontId="7" fillId="10" borderId="0" xfId="0" applyNumberFormat="1" applyFont="1" applyFill="1" applyAlignment="1">
      <alignment horizontal="right" vertical="center" indent="1"/>
    </xf>
    <xf numFmtId="3" fontId="7" fillId="10" borderId="0" xfId="0" applyNumberFormat="1" applyFont="1" applyFill="1" applyAlignment="1">
      <alignment horizontal="right" vertical="center" indent="1"/>
    </xf>
    <xf numFmtId="0" fontId="7" fillId="10" borderId="0" xfId="0" applyFont="1" applyFill="1" applyAlignment="1">
      <alignment horizontal="left" vertical="center" indent="1"/>
    </xf>
    <xf numFmtId="0" fontId="7" fillId="10" borderId="0" xfId="0" quotePrefix="1" applyFont="1" applyFill="1" applyAlignment="1">
      <alignment horizontal="center" vertical="center"/>
    </xf>
    <xf numFmtId="0" fontId="7" fillId="10" borderId="0" xfId="0" applyFont="1" applyFill="1" applyAlignment="1">
      <alignment horizontal="center"/>
    </xf>
    <xf numFmtId="0" fontId="7" fillId="10" borderId="0" xfId="0" applyFont="1" applyFill="1" applyAlignment="1">
      <alignment horizontal="right" vertical="center" indent="1"/>
    </xf>
    <xf numFmtId="1" fontId="7" fillId="10" borderId="0" xfId="0" applyNumberFormat="1" applyFont="1" applyFill="1" applyAlignment="1">
      <alignment horizontal="right" vertical="center" indent="1"/>
    </xf>
    <xf numFmtId="0" fontId="39" fillId="10" borderId="0" xfId="0" applyFont="1" applyFill="1"/>
    <xf numFmtId="3" fontId="7" fillId="10" borderId="0" xfId="0" applyNumberFormat="1" applyFont="1" applyFill="1" applyAlignment="1">
      <alignment horizontal="center" vertical="center"/>
    </xf>
    <xf numFmtId="0" fontId="15" fillId="10" borderId="0" xfId="0" applyFont="1" applyFill="1" applyAlignment="1">
      <alignment horizontal="left" vertical="center"/>
    </xf>
    <xf numFmtId="9" fontId="7" fillId="10" borderId="0" xfId="1" applyFont="1" applyFill="1" applyBorder="1"/>
    <xf numFmtId="0" fontId="68" fillId="10" borderId="0" xfId="0" applyFont="1" applyFill="1" applyAlignment="1">
      <alignment horizontal="center" vertical="top" wrapText="1"/>
    </xf>
    <xf numFmtId="0" fontId="41" fillId="10" borderId="0" xfId="0" applyFont="1" applyFill="1"/>
    <xf numFmtId="0" fontId="69" fillId="10" borderId="0" xfId="0" applyFont="1" applyFill="1" applyAlignment="1">
      <alignment horizontal="right"/>
    </xf>
    <xf numFmtId="0" fontId="68" fillId="10" borderId="0" xfId="0" applyFont="1" applyFill="1"/>
    <xf numFmtId="0" fontId="68" fillId="10" borderId="0" xfId="0" applyFont="1" applyFill="1" applyAlignment="1">
      <alignment horizontal="right"/>
    </xf>
    <xf numFmtId="0" fontId="68" fillId="10" borderId="0" xfId="0" applyFont="1" applyFill="1" applyAlignment="1">
      <alignment wrapText="1"/>
    </xf>
    <xf numFmtId="3" fontId="68" fillId="10" borderId="0" xfId="0" applyNumberFormat="1" applyFont="1" applyFill="1"/>
    <xf numFmtId="3" fontId="68" fillId="10" borderId="0" xfId="0" applyNumberFormat="1" applyFont="1" applyFill="1" applyAlignment="1">
      <alignment horizontal="right"/>
    </xf>
    <xf numFmtId="3" fontId="68" fillId="10" borderId="0" xfId="0" applyNumberFormat="1" applyFont="1" applyFill="1" applyAlignment="1">
      <alignment vertical="top" wrapText="1"/>
    </xf>
    <xf numFmtId="3" fontId="68" fillId="10" borderId="0" xfId="0" applyNumberFormat="1" applyFont="1" applyFill="1" applyAlignment="1">
      <alignment horizontal="right" vertical="top" wrapText="1"/>
    </xf>
    <xf numFmtId="3" fontId="68" fillId="10" borderId="0" xfId="0" applyNumberFormat="1" applyFont="1" applyFill="1" applyAlignment="1">
      <alignment vertical="center" wrapText="1"/>
    </xf>
    <xf numFmtId="0" fontId="41" fillId="10" borderId="0" xfId="0" applyFont="1" applyFill="1" applyAlignment="1">
      <alignment horizontal="left" indent="1"/>
    </xf>
    <xf numFmtId="3" fontId="41" fillId="10" borderId="0" xfId="0" applyNumberFormat="1" applyFont="1" applyFill="1"/>
    <xf numFmtId="3" fontId="41" fillId="10" borderId="0" xfId="0" applyNumberFormat="1" applyFont="1" applyFill="1" applyAlignment="1">
      <alignment horizontal="right"/>
    </xf>
    <xf numFmtId="3" fontId="41" fillId="10" borderId="0" xfId="0" applyNumberFormat="1" applyFont="1" applyFill="1" applyAlignment="1">
      <alignment vertical="top" wrapText="1"/>
    </xf>
    <xf numFmtId="3" fontId="41" fillId="10" borderId="0" xfId="0" applyNumberFormat="1" applyFont="1" applyFill="1" applyAlignment="1">
      <alignment horizontal="right" vertical="top" wrapText="1"/>
    </xf>
    <xf numFmtId="3" fontId="68" fillId="10" borderId="0" xfId="0" applyNumberFormat="1" applyFont="1" applyFill="1" applyAlignment="1">
      <alignment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 xfId="0" applyFont="1" applyBorder="1" applyAlignment="1">
      <alignment horizontal="center" vertical="center"/>
    </xf>
    <xf numFmtId="0" fontId="41" fillId="0" borderId="3" xfId="0" applyFont="1" applyBorder="1" applyAlignment="1">
      <alignment horizontal="center" vertical="center"/>
    </xf>
    <xf numFmtId="169" fontId="0" fillId="0" borderId="2" xfId="1" applyNumberFormat="1" applyFont="1" applyBorder="1"/>
    <xf numFmtId="0" fontId="40" fillId="0" borderId="0" xfId="0" applyFont="1"/>
    <xf numFmtId="0" fontId="5" fillId="3" borderId="0" xfId="0" applyFont="1" applyFill="1"/>
    <xf numFmtId="0" fontId="52" fillId="10" borderId="0" xfId="0" applyFont="1" applyFill="1"/>
    <xf numFmtId="0" fontId="0" fillId="20" borderId="1" xfId="0" applyFill="1" applyBorder="1" applyAlignment="1">
      <alignment horizontal="center"/>
    </xf>
    <xf numFmtId="0" fontId="0" fillId="20" borderId="2" xfId="0" applyFill="1" applyBorder="1" applyAlignment="1">
      <alignment horizontal="center"/>
    </xf>
    <xf numFmtId="0" fontId="0" fillId="20" borderId="2" xfId="0" applyFill="1" applyBorder="1" applyAlignment="1">
      <alignment horizontal="center" vertical="center"/>
    </xf>
    <xf numFmtId="0" fontId="0" fillId="20" borderId="3" xfId="0" applyFill="1" applyBorder="1" applyAlignment="1">
      <alignment horizontal="center" vertical="center"/>
    </xf>
    <xf numFmtId="1" fontId="0" fillId="0" borderId="12" xfId="0" applyNumberFormat="1" applyBorder="1" applyAlignment="1">
      <alignment horizontal="center" vertical="center"/>
    </xf>
    <xf numFmtId="1" fontId="0" fillId="0" borderId="13" xfId="0" applyNumberFormat="1" applyBorder="1" applyAlignment="1">
      <alignment horizontal="center" vertical="center"/>
    </xf>
    <xf numFmtId="1" fontId="0" fillId="0" borderId="4" xfId="0" applyNumberFormat="1"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3" fontId="2" fillId="0" borderId="1" xfId="0" applyNumberFormat="1" applyFont="1" applyBorder="1" applyAlignment="1">
      <alignment horizontal="right" vertical="center" indent="1"/>
    </xf>
    <xf numFmtId="3" fontId="2" fillId="0" borderId="2" xfId="0" applyNumberFormat="1" applyFont="1" applyBorder="1" applyAlignment="1">
      <alignment horizontal="right" vertical="center" indent="1"/>
    </xf>
    <xf numFmtId="3" fontId="2" fillId="0" borderId="3" xfId="0" applyNumberFormat="1" applyFont="1" applyBorder="1" applyAlignment="1">
      <alignment horizontal="right" vertical="center" indent="1"/>
    </xf>
    <xf numFmtId="2" fontId="0" fillId="0" borderId="4" xfId="0" applyNumberFormat="1" applyBorder="1"/>
    <xf numFmtId="2" fontId="0" fillId="0" borderId="6" xfId="0" applyNumberFormat="1" applyBorder="1"/>
    <xf numFmtId="0" fontId="2" fillId="20" borderId="4" xfId="0" applyFont="1" applyFill="1" applyBorder="1"/>
    <xf numFmtId="0" fontId="0" fillId="20" borderId="6" xfId="0" applyFill="1" applyBorder="1"/>
    <xf numFmtId="3" fontId="58" fillId="6" borderId="0" xfId="0" applyNumberFormat="1" applyFont="1" applyFill="1" applyAlignment="1">
      <alignment horizontal="center" wrapText="1" readingOrder="1"/>
    </xf>
    <xf numFmtId="0" fontId="58" fillId="6" borderId="0" xfId="0" applyFont="1" applyFill="1" applyAlignment="1">
      <alignment horizontal="center" wrapText="1" readingOrder="1"/>
    </xf>
    <xf numFmtId="2" fontId="58" fillId="6" borderId="0" xfId="0" applyNumberFormat="1" applyFont="1" applyFill="1" applyAlignment="1">
      <alignment horizontal="center" wrapText="1" readingOrder="1"/>
    </xf>
    <xf numFmtId="3" fontId="57" fillId="6" borderId="1" xfId="0" applyNumberFormat="1" applyFont="1" applyFill="1" applyBorder="1" applyAlignment="1">
      <alignment horizontal="center" wrapText="1" readingOrder="1"/>
    </xf>
    <xf numFmtId="3" fontId="58" fillId="6" borderId="2" xfId="0" applyNumberFormat="1" applyFont="1" applyFill="1" applyBorder="1" applyAlignment="1">
      <alignment horizontal="center" wrapText="1" readingOrder="1"/>
    </xf>
    <xf numFmtId="0" fontId="57" fillId="6" borderId="8" xfId="0" applyFont="1" applyFill="1" applyBorder="1" applyAlignment="1">
      <alignment horizontal="center" wrapText="1" readingOrder="1"/>
    </xf>
    <xf numFmtId="2" fontId="57" fillId="6" borderId="8" xfId="0" applyNumberFormat="1" applyFont="1" applyFill="1" applyBorder="1" applyAlignment="1">
      <alignment horizontal="center" vertical="center" wrapText="1" readingOrder="1"/>
    </xf>
    <xf numFmtId="2" fontId="57" fillId="6" borderId="8" xfId="0" applyNumberFormat="1" applyFont="1" applyFill="1" applyBorder="1" applyAlignment="1">
      <alignment horizontal="center" wrapText="1" readingOrder="1"/>
    </xf>
    <xf numFmtId="3" fontId="57" fillId="6" borderId="8" xfId="0" applyNumberFormat="1" applyFont="1" applyFill="1" applyBorder="1" applyAlignment="1">
      <alignment horizontal="center" wrapText="1" readingOrder="1"/>
    </xf>
    <xf numFmtId="1" fontId="57" fillId="6" borderId="8" xfId="0" applyNumberFormat="1" applyFont="1" applyFill="1" applyBorder="1" applyAlignment="1">
      <alignment horizontal="center" wrapText="1" readingOrder="1"/>
    </xf>
    <xf numFmtId="2" fontId="41" fillId="6" borderId="8" xfId="0" applyNumberFormat="1" applyFont="1" applyFill="1" applyBorder="1" applyAlignment="1">
      <alignment horizontal="center" vertical="center" wrapText="1"/>
    </xf>
    <xf numFmtId="2" fontId="58" fillId="6" borderId="9" xfId="0" applyNumberFormat="1" applyFont="1" applyFill="1" applyBorder="1" applyAlignment="1">
      <alignment horizontal="center" wrapText="1" readingOrder="1"/>
    </xf>
    <xf numFmtId="0" fontId="58" fillId="6" borderId="10" xfId="0" applyFont="1" applyFill="1" applyBorder="1" applyAlignment="1">
      <alignment horizontal="center" wrapText="1" readingOrder="1"/>
    </xf>
    <xf numFmtId="2" fontId="0" fillId="0" borderId="8" xfId="0" applyNumberFormat="1" applyBorder="1" applyAlignment="1">
      <alignment horizontal="center"/>
    </xf>
    <xf numFmtId="3" fontId="0" fillId="0" borderId="12"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3" fontId="0" fillId="20" borderId="10" xfId="0" applyNumberFormat="1" applyFill="1" applyBorder="1" applyAlignment="1">
      <alignment horizontal="center"/>
    </xf>
    <xf numFmtId="3" fontId="0" fillId="20" borderId="13" xfId="0" applyNumberFormat="1" applyFill="1" applyBorder="1" applyAlignment="1">
      <alignment horizontal="center"/>
    </xf>
    <xf numFmtId="4" fontId="17" fillId="0" borderId="0" xfId="0" applyNumberFormat="1" applyFont="1" applyAlignment="1">
      <alignment horizontal="center"/>
    </xf>
    <xf numFmtId="4" fontId="17" fillId="0" borderId="12" xfId="0" applyNumberFormat="1" applyFont="1" applyBorder="1" applyAlignment="1">
      <alignment horizontal="center"/>
    </xf>
    <xf numFmtId="4" fontId="17" fillId="0" borderId="2" xfId="0" applyNumberFormat="1" applyFont="1" applyBorder="1" applyAlignment="1">
      <alignment horizontal="center"/>
    </xf>
    <xf numFmtId="4" fontId="17" fillId="0" borderId="3" xfId="0" applyNumberFormat="1" applyFont="1" applyBorder="1" applyAlignment="1">
      <alignment horizontal="center"/>
    </xf>
    <xf numFmtId="4" fontId="17" fillId="0" borderId="10" xfId="0" applyNumberFormat="1" applyFont="1" applyBorder="1" applyAlignment="1">
      <alignment horizontal="center"/>
    </xf>
    <xf numFmtId="4" fontId="17" fillId="0" borderId="13" xfId="0" applyNumberFormat="1" applyFont="1" applyBorder="1" applyAlignment="1">
      <alignment horizontal="center"/>
    </xf>
    <xf numFmtId="0" fontId="2" fillId="20" borderId="1" xfId="0" applyFont="1" applyFill="1" applyBorder="1"/>
    <xf numFmtId="0" fontId="2" fillId="20" borderId="3" xfId="0" applyFont="1" applyFill="1" applyBorder="1"/>
    <xf numFmtId="0" fontId="2" fillId="20" borderId="6" xfId="0" applyFont="1" applyFill="1" applyBorder="1"/>
    <xf numFmtId="0" fontId="2" fillId="20" borderId="10" xfId="0" applyFont="1" applyFill="1" applyBorder="1" applyAlignment="1">
      <alignment horizontal="center"/>
    </xf>
    <xf numFmtId="0" fontId="0" fillId="20" borderId="13" xfId="0" applyFill="1" applyBorder="1" applyAlignment="1">
      <alignment horizontal="center"/>
    </xf>
    <xf numFmtId="4" fontId="0" fillId="0" borderId="2" xfId="0" applyNumberFormat="1" applyBorder="1" applyAlignment="1">
      <alignment horizontal="center"/>
    </xf>
    <xf numFmtId="2" fontId="0" fillId="0" borderId="1" xfId="1" applyNumberFormat="1" applyFont="1" applyBorder="1"/>
    <xf numFmtId="2" fontId="0" fillId="0" borderId="2" xfId="1" applyNumberFormat="1" applyFont="1" applyBorder="1"/>
    <xf numFmtId="3" fontId="0" fillId="0" borderId="3" xfId="1" applyNumberFormat="1" applyFont="1" applyBorder="1"/>
    <xf numFmtId="2" fontId="0" fillId="0" borderId="0" xfId="1" applyNumberFormat="1" applyFont="1" applyBorder="1"/>
    <xf numFmtId="9" fontId="0" fillId="0" borderId="5" xfId="1" applyFont="1" applyBorder="1"/>
    <xf numFmtId="2" fontId="0" fillId="0" borderId="8" xfId="1" applyNumberFormat="1" applyFont="1" applyBorder="1"/>
    <xf numFmtId="3" fontId="0" fillId="0" borderId="12" xfId="1" applyNumberFormat="1" applyFont="1" applyBorder="1"/>
    <xf numFmtId="0" fontId="2" fillId="20" borderId="9" xfId="0" applyFont="1" applyFill="1" applyBorder="1"/>
    <xf numFmtId="2" fontId="0" fillId="0" borderId="12" xfId="1" applyNumberFormat="1" applyFont="1" applyBorder="1"/>
    <xf numFmtId="0" fontId="2" fillId="20" borderId="5" xfId="0" applyFont="1" applyFill="1" applyBorder="1"/>
    <xf numFmtId="0" fontId="2" fillId="20" borderId="13" xfId="0" applyFont="1" applyFill="1" applyBorder="1"/>
    <xf numFmtId="9" fontId="0" fillId="0" borderId="4" xfId="1" applyFont="1" applyBorder="1"/>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9" fontId="0" fillId="0" borderId="11" xfId="1" applyFont="1" applyFill="1" applyBorder="1" applyAlignment="1">
      <alignment horizontal="center" vertical="center"/>
    </xf>
    <xf numFmtId="0" fontId="0" fillId="20" borderId="11" xfId="0" applyFill="1" applyBorder="1" applyAlignment="1">
      <alignment horizontal="center" vertical="center"/>
    </xf>
    <xf numFmtId="9" fontId="0" fillId="0" borderId="5" xfId="1" applyFont="1" applyBorder="1" applyAlignment="1">
      <alignment horizontal="center"/>
    </xf>
    <xf numFmtId="9" fontId="0" fillId="0" borderId="6" xfId="1" applyFont="1" applyBorder="1" applyAlignment="1">
      <alignment horizontal="center"/>
    </xf>
    <xf numFmtId="3" fontId="0" fillId="10" borderId="1" xfId="0" applyNumberFormat="1" applyFill="1" applyBorder="1" applyAlignment="1">
      <alignment horizontal="center" vertical="center"/>
    </xf>
    <xf numFmtId="3" fontId="0" fillId="10" borderId="3" xfId="0" applyNumberFormat="1" applyFill="1" applyBorder="1" applyAlignment="1">
      <alignment horizontal="center" vertical="center"/>
    </xf>
    <xf numFmtId="0" fontId="0" fillId="0" borderId="10" xfId="1" applyNumberFormat="1" applyFont="1" applyBorder="1"/>
    <xf numFmtId="0" fontId="0" fillId="0" borderId="13" xfId="1" applyNumberFormat="1" applyFont="1" applyBorder="1"/>
    <xf numFmtId="3" fontId="0" fillId="0" borderId="5" xfId="0" applyNumberFormat="1" applyBorder="1" applyAlignment="1">
      <alignment horizontal="center"/>
    </xf>
    <xf numFmtId="3" fontId="0" fillId="0" borderId="6" xfId="0" applyNumberFormat="1" applyBorder="1" applyAlignment="1">
      <alignment horizontal="center"/>
    </xf>
    <xf numFmtId="0" fontId="0" fillId="21" borderId="13" xfId="0" applyFill="1" applyBorder="1"/>
    <xf numFmtId="0" fontId="0" fillId="21" borderId="10" xfId="0" applyFill="1" applyBorder="1"/>
    <xf numFmtId="165" fontId="0" fillId="0" borderId="0" xfId="0" applyNumberFormat="1" applyAlignment="1">
      <alignment horizontal="center" vertical="center"/>
    </xf>
    <xf numFmtId="2" fontId="0" fillId="0" borderId="6" xfId="0" applyNumberFormat="1" applyBorder="1" applyAlignment="1">
      <alignment horizontal="center"/>
    </xf>
    <xf numFmtId="3" fontId="18" fillId="0" borderId="8" xfId="5" applyNumberFormat="1" applyFont="1" applyBorder="1" applyAlignment="1">
      <alignment horizontal="center" vertical="center"/>
    </xf>
    <xf numFmtId="3" fontId="18" fillId="0" borderId="0" xfId="5" applyNumberFormat="1" applyFont="1" applyAlignment="1">
      <alignment horizontal="center" vertical="center"/>
    </xf>
    <xf numFmtId="3" fontId="18" fillId="0" borderId="12" xfId="5" applyNumberFormat="1" applyFont="1" applyBorder="1" applyAlignment="1">
      <alignment horizontal="center" vertical="center"/>
    </xf>
    <xf numFmtId="3" fontId="18" fillId="0" borderId="9" xfId="5" applyNumberFormat="1" applyFont="1" applyBorder="1" applyAlignment="1">
      <alignment horizontal="center" vertical="center"/>
    </xf>
    <xf numFmtId="3" fontId="18" fillId="0" borderId="10" xfId="5" applyNumberFormat="1" applyFont="1" applyBorder="1" applyAlignment="1">
      <alignment horizontal="center" vertical="center"/>
    </xf>
    <xf numFmtId="3" fontId="18" fillId="0" borderId="13" xfId="5" applyNumberFormat="1" applyFont="1" applyBorder="1" applyAlignment="1">
      <alignment horizontal="center" vertical="center"/>
    </xf>
    <xf numFmtId="0" fontId="18" fillId="0" borderId="8" xfId="0" applyFont="1" applyBorder="1" applyAlignment="1">
      <alignment horizontal="left" indent="2"/>
    </xf>
    <xf numFmtId="0" fontId="18" fillId="0" borderId="8" xfId="0" applyFont="1" applyBorder="1" applyAlignment="1">
      <alignment horizontal="left" vertical="top" indent="2"/>
    </xf>
    <xf numFmtId="0" fontId="18" fillId="0" borderId="9" xfId="0" applyFont="1" applyBorder="1" applyAlignment="1">
      <alignment horizontal="left" indent="2"/>
    </xf>
    <xf numFmtId="0" fontId="18" fillId="0" borderId="4" xfId="0" applyFont="1" applyBorder="1" applyAlignment="1">
      <alignment horizontal="left" indent="2"/>
    </xf>
    <xf numFmtId="3" fontId="0" fillId="0" borderId="4" xfId="0" applyNumberFormat="1" applyBorder="1" applyAlignment="1">
      <alignment horizontal="center"/>
    </xf>
    <xf numFmtId="0" fontId="72" fillId="10" borderId="0" xfId="0" applyFont="1" applyFill="1"/>
    <xf numFmtId="0" fontId="18" fillId="0" borderId="1" xfId="0" applyFont="1" applyBorder="1" applyAlignment="1">
      <alignment horizontal="left" vertical="center" indent="1"/>
    </xf>
    <xf numFmtId="0" fontId="18" fillId="0" borderId="9" xfId="0" applyFont="1" applyBorder="1" applyAlignment="1">
      <alignment horizontal="left" vertical="center" indent="1"/>
    </xf>
    <xf numFmtId="0" fontId="18" fillId="0" borderId="4" xfId="0" applyFont="1" applyBorder="1" applyAlignment="1">
      <alignment horizontal="left" vertical="center" indent="1"/>
    </xf>
    <xf numFmtId="0" fontId="8" fillId="0" borderId="2" xfId="0" applyFont="1" applyBorder="1" applyAlignment="1">
      <alignment vertical="center"/>
    </xf>
    <xf numFmtId="0" fontId="18" fillId="0" borderId="3" xfId="0" applyFont="1" applyBorder="1" applyAlignment="1">
      <alignment vertical="center"/>
    </xf>
    <xf numFmtId="0" fontId="18" fillId="0" borderId="13" xfId="0" applyFont="1" applyBorder="1" applyAlignment="1">
      <alignment vertical="center"/>
    </xf>
    <xf numFmtId="0" fontId="18" fillId="0" borderId="6" xfId="0" applyFont="1" applyBorder="1" applyAlignment="1">
      <alignment vertical="center"/>
    </xf>
    <xf numFmtId="0" fontId="8" fillId="0" borderId="3" xfId="0" applyFont="1" applyBorder="1" applyAlignment="1">
      <alignment vertical="center"/>
    </xf>
    <xf numFmtId="0" fontId="8" fillId="0" borderId="13" xfId="0" applyFont="1" applyBorder="1" applyAlignment="1">
      <alignment vertical="center"/>
    </xf>
    <xf numFmtId="0" fontId="8" fillId="10" borderId="4" xfId="0" applyFont="1" applyFill="1" applyBorder="1" applyAlignment="1">
      <alignment vertical="center"/>
    </xf>
    <xf numFmtId="0" fontId="8" fillId="10" borderId="5" xfId="0" applyFont="1" applyFill="1" applyBorder="1" applyAlignment="1">
      <alignment vertical="center"/>
    </xf>
    <xf numFmtId="0" fontId="8" fillId="10" borderId="6" xfId="0" applyFont="1" applyFill="1" applyBorder="1" applyAlignment="1">
      <alignment vertical="center"/>
    </xf>
    <xf numFmtId="2" fontId="0" fillId="0" borderId="4" xfId="0" applyNumberFormat="1" applyBorder="1" applyAlignment="1">
      <alignment horizontal="center"/>
    </xf>
    <xf numFmtId="2" fontId="0" fillId="0" borderId="5" xfId="0" applyNumberFormat="1" applyBorder="1" applyAlignment="1">
      <alignment horizontal="center"/>
    </xf>
    <xf numFmtId="3" fontId="2" fillId="10" borderId="0" xfId="0" applyNumberFormat="1" applyFont="1" applyFill="1" applyAlignment="1">
      <alignment horizontal="right" vertical="center" indent="1"/>
    </xf>
    <xf numFmtId="3" fontId="0" fillId="10" borderId="0" xfId="0" applyNumberFormat="1" applyFill="1" applyAlignment="1">
      <alignment horizontal="right" vertical="center" indent="1"/>
    </xf>
    <xf numFmtId="0" fontId="0" fillId="10" borderId="0" xfId="0" applyFill="1" applyAlignment="1">
      <alignment vertical="center"/>
    </xf>
    <xf numFmtId="0" fontId="2" fillId="10" borderId="0" xfId="0" applyFont="1" applyFill="1" applyAlignment="1">
      <alignment vertical="center"/>
    </xf>
    <xf numFmtId="0" fontId="18" fillId="0" borderId="0" xfId="0" applyFont="1" applyAlignment="1">
      <alignment horizontal="left" indent="2"/>
    </xf>
    <xf numFmtId="0" fontId="18" fillId="0" borderId="0" xfId="0" applyFont="1" applyAlignment="1">
      <alignment horizontal="left" vertical="top"/>
    </xf>
    <xf numFmtId="0" fontId="18" fillId="0" borderId="0" xfId="0" applyFont="1" applyAlignment="1">
      <alignment vertical="top"/>
    </xf>
    <xf numFmtId="9" fontId="0" fillId="0" borderId="1" xfId="1" applyFont="1" applyBorder="1" applyAlignment="1">
      <alignment horizontal="center"/>
    </xf>
    <xf numFmtId="9" fontId="0" fillId="0" borderId="4" xfId="1" applyFont="1" applyBorder="1" applyAlignment="1">
      <alignment horizontal="center"/>
    </xf>
    <xf numFmtId="9" fontId="0" fillId="0" borderId="7" xfId="0" applyNumberFormat="1" applyBorder="1"/>
    <xf numFmtId="0" fontId="0" fillId="0" borderId="7" xfId="0" applyBorder="1" applyAlignment="1">
      <alignment horizontal="center"/>
    </xf>
    <xf numFmtId="9" fontId="0" fillId="0" borderId="24" xfId="0" applyNumberFormat="1" applyBorder="1"/>
    <xf numFmtId="0" fontId="18" fillId="0" borderId="8" xfId="0" applyFont="1" applyBorder="1" applyAlignment="1">
      <alignment horizontal="left" vertical="top"/>
    </xf>
    <xf numFmtId="0" fontId="8" fillId="0" borderId="0" xfId="0" applyFont="1" applyAlignment="1">
      <alignment horizontal="left" vertical="top"/>
    </xf>
    <xf numFmtId="3" fontId="18" fillId="10" borderId="8" xfId="5" applyNumberFormat="1" applyFont="1" applyFill="1" applyBorder="1" applyAlignment="1">
      <alignment horizontal="center" vertical="center"/>
    </xf>
    <xf numFmtId="3" fontId="18" fillId="10" borderId="0" xfId="5" applyNumberFormat="1" applyFont="1" applyFill="1" applyAlignment="1">
      <alignment horizontal="center" vertical="center"/>
    </xf>
    <xf numFmtId="3" fontId="18" fillId="10" borderId="12" xfId="5" applyNumberFormat="1" applyFont="1" applyFill="1" applyBorder="1" applyAlignment="1">
      <alignment horizontal="center" vertical="center"/>
    </xf>
    <xf numFmtId="0" fontId="0" fillId="10" borderId="8" xfId="0" applyFill="1" applyBorder="1" applyAlignment="1">
      <alignment vertical="center"/>
    </xf>
    <xf numFmtId="0" fontId="0" fillId="10" borderId="12" xfId="0" applyFill="1" applyBorder="1" applyAlignment="1">
      <alignment vertical="center"/>
    </xf>
    <xf numFmtId="3" fontId="18" fillId="10" borderId="14" xfId="0" applyNumberFormat="1" applyFont="1" applyFill="1" applyBorder="1" applyAlignment="1">
      <alignment horizontal="right" vertical="center" indent="1"/>
    </xf>
    <xf numFmtId="0" fontId="18" fillId="10" borderId="14" xfId="0" applyFont="1" applyFill="1" applyBorder="1" applyAlignment="1">
      <alignment horizontal="center" vertical="center"/>
    </xf>
    <xf numFmtId="0" fontId="18" fillId="10" borderId="7" xfId="0" applyFont="1" applyFill="1" applyBorder="1" applyAlignment="1">
      <alignment horizontal="center" vertical="center"/>
    </xf>
    <xf numFmtId="3" fontId="18" fillId="10" borderId="7" xfId="0" applyNumberFormat="1" applyFont="1" applyFill="1" applyBorder="1" applyAlignment="1">
      <alignment horizontal="right" vertical="center" indent="1"/>
    </xf>
    <xf numFmtId="3" fontId="18" fillId="10" borderId="24" xfId="0" applyNumberFormat="1" applyFont="1" applyFill="1" applyBorder="1" applyAlignment="1">
      <alignment horizontal="right" vertical="center" indent="1"/>
    </xf>
    <xf numFmtId="3" fontId="18" fillId="10" borderId="11" xfId="0" applyNumberFormat="1" applyFont="1" applyFill="1" applyBorder="1" applyAlignment="1">
      <alignment horizontal="right" vertical="center" indent="1"/>
    </xf>
    <xf numFmtId="3" fontId="18" fillId="10" borderId="11" xfId="0" applyNumberFormat="1" applyFont="1" applyFill="1" applyBorder="1" applyAlignment="1">
      <alignment vertical="center"/>
    </xf>
    <xf numFmtId="0" fontId="18" fillId="10" borderId="11" xfId="0" applyFont="1" applyFill="1" applyBorder="1" applyAlignment="1">
      <alignment vertical="center"/>
    </xf>
    <xf numFmtId="0" fontId="18" fillId="10" borderId="24" xfId="0" applyFont="1" applyFill="1" applyBorder="1" applyAlignment="1">
      <alignment vertical="center"/>
    </xf>
    <xf numFmtId="3" fontId="18" fillId="10" borderId="24" xfId="0" applyNumberFormat="1" applyFont="1" applyFill="1" applyBorder="1" applyAlignment="1">
      <alignment vertical="center"/>
    </xf>
    <xf numFmtId="0" fontId="73" fillId="0" borderId="0" xfId="0" applyFont="1" applyAlignment="1">
      <alignment vertical="top"/>
    </xf>
    <xf numFmtId="2" fontId="18" fillId="0" borderId="1" xfId="0" applyNumberFormat="1" applyFont="1" applyBorder="1"/>
    <xf numFmtId="2" fontId="18" fillId="0" borderId="2" xfId="0" applyNumberFormat="1" applyFont="1" applyBorder="1"/>
    <xf numFmtId="168" fontId="18" fillId="0" borderId="3" xfId="0" applyNumberFormat="1" applyFont="1" applyBorder="1"/>
    <xf numFmtId="0" fontId="0" fillId="10" borderId="5" xfId="0" applyFill="1" applyBorder="1"/>
    <xf numFmtId="0" fontId="0" fillId="10" borderId="6" xfId="0" applyFill="1" applyBorder="1"/>
    <xf numFmtId="2" fontId="0" fillId="0" borderId="1" xfId="0" applyNumberFormat="1" applyBorder="1" applyAlignment="1">
      <alignment horizont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9" fontId="0" fillId="10" borderId="0" xfId="1" applyFont="1" applyFill="1" applyBorder="1" applyAlignment="1">
      <alignment horizontal="center" vertical="center"/>
    </xf>
    <xf numFmtId="9" fontId="0" fillId="0" borderId="2" xfId="1" applyFont="1" applyBorder="1" applyAlignment="1">
      <alignment horizontal="center"/>
    </xf>
    <xf numFmtId="0" fontId="74" fillId="0" borderId="0" xfId="0" applyFont="1" applyAlignment="1">
      <alignment vertical="center"/>
    </xf>
    <xf numFmtId="0" fontId="76" fillId="0" borderId="0" xfId="0" applyFont="1" applyAlignment="1">
      <alignment horizontal="center" vertical="center"/>
    </xf>
    <xf numFmtId="172" fontId="76" fillId="0" borderId="0" xfId="0" applyNumberFormat="1" applyFont="1" applyAlignment="1">
      <alignment horizontal="left" vertical="center"/>
    </xf>
    <xf numFmtId="0" fontId="76" fillId="0" borderId="0" xfId="0" applyFont="1" applyAlignment="1">
      <alignment horizontal="left" vertical="center"/>
    </xf>
    <xf numFmtId="0" fontId="78" fillId="0" borderId="0" xfId="0" applyFont="1" applyAlignment="1">
      <alignment vertical="center"/>
    </xf>
    <xf numFmtId="0" fontId="79" fillId="0" borderId="0" xfId="0" applyFont="1" applyAlignment="1">
      <alignment vertical="center"/>
    </xf>
    <xf numFmtId="0" fontId="81" fillId="0" borderId="1" xfId="0" applyFont="1" applyBorder="1"/>
    <xf numFmtId="0" fontId="81" fillId="0" borderId="2" xfId="0" applyFont="1" applyBorder="1"/>
    <xf numFmtId="0" fontId="81" fillId="0" borderId="3" xfId="0" applyFont="1" applyBorder="1"/>
    <xf numFmtId="0" fontId="82" fillId="0" borderId="0" xfId="0" applyFont="1"/>
    <xf numFmtId="0" fontId="82" fillId="24" borderId="1" xfId="0" applyFont="1" applyFill="1" applyBorder="1"/>
    <xf numFmtId="0" fontId="82" fillId="24" borderId="2" xfId="0" applyFont="1" applyFill="1" applyBorder="1"/>
    <xf numFmtId="0" fontId="82" fillId="24" borderId="3" xfId="0" applyFont="1" applyFill="1" applyBorder="1"/>
    <xf numFmtId="0" fontId="81" fillId="0" borderId="8" xfId="0" applyFont="1" applyBorder="1" applyAlignment="1">
      <alignment horizontal="center" vertical="center"/>
    </xf>
    <xf numFmtId="0" fontId="81" fillId="0" borderId="0" xfId="0" applyFont="1" applyAlignment="1">
      <alignment horizontal="center" vertical="center"/>
    </xf>
    <xf numFmtId="0" fontId="81" fillId="0" borderId="12" xfId="0" applyFont="1" applyBorder="1" applyAlignment="1">
      <alignment horizontal="center" vertical="center"/>
    </xf>
    <xf numFmtId="0" fontId="83" fillId="0" borderId="0" xfId="0" applyFont="1" applyAlignment="1">
      <alignment horizontal="center" vertical="center"/>
    </xf>
    <xf numFmtId="0" fontId="83" fillId="0" borderId="8" xfId="0" applyFont="1" applyBorder="1" applyAlignment="1">
      <alignment horizontal="center" vertical="center"/>
    </xf>
    <xf numFmtId="0" fontId="83" fillId="0" borderId="12" xfId="0" applyFont="1" applyBorder="1" applyAlignment="1">
      <alignment horizontal="center" vertical="center"/>
    </xf>
    <xf numFmtId="0" fontId="81" fillId="0" borderId="8" xfId="0" applyFont="1" applyBorder="1"/>
    <xf numFmtId="0" fontId="81" fillId="0" borderId="0" xfId="0" applyFont="1"/>
    <xf numFmtId="0" fontId="81" fillId="0" borderId="12" xfId="0" applyFont="1" applyBorder="1"/>
    <xf numFmtId="0" fontId="84" fillId="0" borderId="8" xfId="0" applyFont="1" applyBorder="1"/>
    <xf numFmtId="0" fontId="84" fillId="0" borderId="0" xfId="0" applyFont="1"/>
    <xf numFmtId="2" fontId="84" fillId="0" borderId="12" xfId="0" applyNumberFormat="1" applyFont="1" applyBorder="1"/>
    <xf numFmtId="2" fontId="85" fillId="0" borderId="0" xfId="0" applyNumberFormat="1" applyFont="1"/>
    <xf numFmtId="0" fontId="85" fillId="0" borderId="0" xfId="0" applyFont="1"/>
    <xf numFmtId="0" fontId="84" fillId="0" borderId="8" xfId="0" applyFont="1" applyBorder="1" applyAlignment="1">
      <alignment horizontal="left"/>
    </xf>
    <xf numFmtId="0" fontId="84" fillId="0" borderId="0" xfId="0" applyFont="1" applyAlignment="1">
      <alignment horizontal="right" wrapText="1"/>
    </xf>
    <xf numFmtId="0" fontId="85" fillId="0" borderId="0" xfId="0" applyFont="1" applyAlignment="1">
      <alignment horizontal="left"/>
    </xf>
    <xf numFmtId="0" fontId="86" fillId="0" borderId="8" xfId="0" applyFont="1" applyBorder="1" applyAlignment="1">
      <alignment horizontal="right"/>
    </xf>
    <xf numFmtId="0" fontId="86" fillId="0" borderId="0" xfId="0" applyFont="1" applyAlignment="1">
      <alignment horizontal="right"/>
    </xf>
    <xf numFmtId="0" fontId="87" fillId="0" borderId="0" xfId="0" applyFont="1" applyAlignment="1">
      <alignment horizontal="right"/>
    </xf>
    <xf numFmtId="11" fontId="87" fillId="0" borderId="0" xfId="0" applyNumberFormat="1" applyFont="1" applyAlignment="1">
      <alignment horizontal="right"/>
    </xf>
    <xf numFmtId="0" fontId="84" fillId="0" borderId="0" xfId="0" applyFont="1" applyAlignment="1">
      <alignment horizontal="left"/>
    </xf>
    <xf numFmtId="0" fontId="84" fillId="0" borderId="8" xfId="0" applyFont="1" applyBorder="1" applyAlignment="1">
      <alignment horizontal="right"/>
    </xf>
    <xf numFmtId="0" fontId="84" fillId="0" borderId="0" xfId="0" applyFont="1" applyAlignment="1">
      <alignment horizontal="right"/>
    </xf>
    <xf numFmtId="0" fontId="85" fillId="0" borderId="0" xfId="0" applyFont="1" applyAlignment="1">
      <alignment horizontal="right"/>
    </xf>
    <xf numFmtId="2" fontId="81" fillId="0" borderId="12" xfId="0" applyNumberFormat="1" applyFont="1" applyBorder="1"/>
    <xf numFmtId="2" fontId="82" fillId="0" borderId="0" xfId="0" applyNumberFormat="1" applyFont="1"/>
    <xf numFmtId="0" fontId="84" fillId="0" borderId="8" xfId="0" applyFont="1" applyBorder="1" applyAlignment="1">
      <alignment horizontal="right" wrapText="1"/>
    </xf>
    <xf numFmtId="0" fontId="85" fillId="0" borderId="0" xfId="0" applyFont="1" applyAlignment="1">
      <alignment horizontal="right" wrapText="1"/>
    </xf>
    <xf numFmtId="0" fontId="81" fillId="0" borderId="9" xfId="0" applyFont="1" applyBorder="1"/>
    <xf numFmtId="0" fontId="81" fillId="0" borderId="10" xfId="0" applyFont="1" applyBorder="1"/>
    <xf numFmtId="2" fontId="81" fillId="0" borderId="13" xfId="0" applyNumberFormat="1" applyFont="1" applyBorder="1"/>
    <xf numFmtId="11" fontId="87" fillId="0" borderId="0" xfId="3" applyNumberFormat="1" applyFont="1" applyBorder="1" applyAlignment="1">
      <alignment horizontal="right"/>
    </xf>
    <xf numFmtId="11" fontId="87" fillId="0" borderId="0" xfId="0" applyNumberFormat="1" applyFont="1" applyAlignment="1">
      <alignment horizontal="right" vertical="center"/>
    </xf>
    <xf numFmtId="11" fontId="87" fillId="0" borderId="0" xfId="3" applyNumberFormat="1" applyFont="1" applyBorder="1" applyAlignment="1">
      <alignment horizontal="right" vertical="center"/>
    </xf>
    <xf numFmtId="0" fontId="82" fillId="25" borderId="8" xfId="0" applyFont="1" applyFill="1" applyBorder="1" applyAlignment="1">
      <alignment horizontal="center"/>
    </xf>
    <xf numFmtId="0" fontId="82" fillId="25" borderId="0" xfId="0" applyFont="1" applyFill="1" applyAlignment="1">
      <alignment horizontal="center"/>
    </xf>
    <xf numFmtId="167" fontId="82" fillId="25" borderId="0" xfId="1" applyNumberFormat="1" applyFont="1" applyFill="1" applyBorder="1" applyAlignment="1">
      <alignment horizontal="center"/>
    </xf>
    <xf numFmtId="167" fontId="82" fillId="25" borderId="12" xfId="1" applyNumberFormat="1" applyFont="1" applyFill="1" applyBorder="1" applyAlignment="1">
      <alignment horizontal="center"/>
    </xf>
    <xf numFmtId="11" fontId="85" fillId="0" borderId="8" xfId="3" applyNumberFormat="1" applyFont="1" applyBorder="1" applyAlignment="1">
      <alignment horizontal="center"/>
    </xf>
    <xf numFmtId="11" fontId="85" fillId="0" borderId="0" xfId="3" applyNumberFormat="1" applyFont="1" applyBorder="1" applyAlignment="1">
      <alignment horizontal="center"/>
    </xf>
    <xf numFmtId="11" fontId="85" fillId="0" borderId="12" xfId="3" applyNumberFormat="1" applyFont="1" applyBorder="1" applyAlignment="1">
      <alignment horizontal="center"/>
    </xf>
    <xf numFmtId="11" fontId="0" fillId="0" borderId="8" xfId="0" applyNumberFormat="1" applyBorder="1" applyAlignment="1">
      <alignment horizontal="center"/>
    </xf>
    <xf numFmtId="11" fontId="0" fillId="0" borderId="0" xfId="0" applyNumberFormat="1" applyAlignment="1">
      <alignment horizontal="center"/>
    </xf>
    <xf numFmtId="11" fontId="87" fillId="0" borderId="0" xfId="0" applyNumberFormat="1" applyFont="1" applyAlignment="1">
      <alignment horizontal="center"/>
    </xf>
    <xf numFmtId="11" fontId="87" fillId="0" borderId="0" xfId="3" applyNumberFormat="1" applyFont="1" applyBorder="1" applyAlignment="1">
      <alignment horizontal="center"/>
    </xf>
    <xf numFmtId="11" fontId="0" fillId="0" borderId="12" xfId="0" applyNumberFormat="1" applyBorder="1" applyAlignment="1">
      <alignment horizontal="center"/>
    </xf>
    <xf numFmtId="11" fontId="85" fillId="0" borderId="0" xfId="0" applyNumberFormat="1" applyFont="1" applyAlignment="1">
      <alignment horizontal="center"/>
    </xf>
    <xf numFmtId="11" fontId="85" fillId="0" borderId="0" xfId="1" applyNumberFormat="1" applyFont="1" applyBorder="1" applyAlignment="1">
      <alignment horizontal="center"/>
    </xf>
    <xf numFmtId="11" fontId="82" fillId="25" borderId="8" xfId="0" applyNumberFormat="1" applyFont="1" applyFill="1" applyBorder="1" applyAlignment="1">
      <alignment horizontal="center"/>
    </xf>
    <xf numFmtId="11" fontId="82" fillId="25" borderId="0" xfId="0" applyNumberFormat="1" applyFont="1" applyFill="1" applyAlignment="1">
      <alignment horizontal="center"/>
    </xf>
    <xf numFmtId="11" fontId="82" fillId="25" borderId="0" xfId="1" applyNumberFormat="1" applyFont="1" applyFill="1" applyBorder="1" applyAlignment="1">
      <alignment horizontal="center"/>
    </xf>
    <xf numFmtId="11" fontId="82" fillId="25" borderId="12" xfId="1" applyNumberFormat="1" applyFont="1" applyFill="1" applyBorder="1" applyAlignment="1">
      <alignment horizontal="center"/>
    </xf>
    <xf numFmtId="11" fontId="85" fillId="0" borderId="0" xfId="0" applyNumberFormat="1" applyFont="1" applyAlignment="1">
      <alignment horizontal="center" wrapText="1"/>
    </xf>
    <xf numFmtId="11" fontId="82" fillId="25" borderId="9" xfId="1" applyNumberFormat="1" applyFont="1" applyFill="1" applyBorder="1" applyAlignment="1">
      <alignment horizontal="center"/>
    </xf>
    <xf numFmtId="11" fontId="82" fillId="25" borderId="10" xfId="1" applyNumberFormat="1" applyFont="1" applyFill="1" applyBorder="1" applyAlignment="1">
      <alignment horizontal="center"/>
    </xf>
    <xf numFmtId="11" fontId="82" fillId="25" borderId="13" xfId="1" applyNumberFormat="1" applyFont="1" applyFill="1" applyBorder="1" applyAlignment="1">
      <alignment horizontal="center"/>
    </xf>
    <xf numFmtId="11" fontId="17" fillId="0" borderId="8" xfId="0" applyNumberFormat="1" applyFont="1" applyBorder="1" applyAlignment="1">
      <alignment horizontal="right" vertical="center"/>
    </xf>
    <xf numFmtId="11" fontId="86" fillId="0" borderId="0" xfId="3" applyNumberFormat="1" applyFont="1" applyAlignment="1">
      <alignment horizontal="right" vertical="center"/>
    </xf>
    <xf numFmtId="11" fontId="87" fillId="0" borderId="0" xfId="3" applyNumberFormat="1" applyFont="1" applyAlignment="1">
      <alignment horizontal="right" vertical="center"/>
    </xf>
    <xf numFmtId="11" fontId="17" fillId="0" borderId="12" xfId="0" applyNumberFormat="1" applyFont="1" applyBorder="1" applyAlignment="1">
      <alignment horizontal="right" vertical="center"/>
    </xf>
    <xf numFmtId="11" fontId="17" fillId="0" borderId="0" xfId="0" applyNumberFormat="1" applyFont="1" applyAlignment="1">
      <alignment horizontal="right" vertical="center"/>
    </xf>
    <xf numFmtId="11" fontId="87" fillId="0" borderId="8" xfId="3" applyNumberFormat="1" applyFont="1" applyBorder="1" applyAlignment="1">
      <alignment horizontal="right"/>
    </xf>
    <xf numFmtId="11" fontId="87" fillId="0" borderId="12" xfId="3" applyNumberFormat="1" applyFont="1" applyBorder="1" applyAlignment="1">
      <alignment horizontal="right"/>
    </xf>
    <xf numFmtId="11" fontId="17" fillId="0" borderId="8" xfId="0" applyNumberFormat="1" applyFont="1" applyBorder="1" applyAlignment="1">
      <alignment horizontal="right"/>
    </xf>
    <xf numFmtId="11" fontId="86" fillId="0" borderId="0" xfId="3" applyNumberFormat="1" applyFont="1" applyAlignment="1">
      <alignment horizontal="right"/>
    </xf>
    <xf numFmtId="11" fontId="87" fillId="0" borderId="0" xfId="3" applyNumberFormat="1" applyFont="1" applyAlignment="1">
      <alignment horizontal="right"/>
    </xf>
    <xf numFmtId="11" fontId="17" fillId="0" borderId="12" xfId="0" applyNumberFormat="1" applyFont="1" applyBorder="1" applyAlignment="1">
      <alignment horizontal="right"/>
    </xf>
    <xf numFmtId="11" fontId="17" fillId="0" borderId="0" xfId="0" applyNumberFormat="1" applyFont="1" applyAlignment="1">
      <alignment horizontal="right"/>
    </xf>
    <xf numFmtId="11" fontId="87" fillId="0" borderId="0" xfId="0" applyNumberFormat="1" applyFont="1" applyAlignment="1">
      <alignment horizontal="right" wrapText="1"/>
    </xf>
    <xf numFmtId="0" fontId="17" fillId="0" borderId="14" xfId="0" applyFont="1" applyBorder="1" applyAlignment="1">
      <alignment horizontal="right"/>
    </xf>
    <xf numFmtId="0" fontId="0" fillId="20" borderId="8" xfId="0" applyFill="1" applyBorder="1"/>
    <xf numFmtId="0" fontId="43" fillId="25" borderId="3" xfId="0" applyFont="1" applyFill="1" applyBorder="1"/>
    <xf numFmtId="0" fontId="0" fillId="23" borderId="10" xfId="0" applyFill="1" applyBorder="1"/>
    <xf numFmtId="0" fontId="18" fillId="34" borderId="8" xfId="0" applyFont="1" applyFill="1" applyBorder="1"/>
    <xf numFmtId="9" fontId="18" fillId="34" borderId="0" xfId="0" applyNumberFormat="1" applyFont="1" applyFill="1"/>
    <xf numFmtId="0" fontId="18" fillId="34" borderId="0" xfId="0" applyFont="1" applyFill="1"/>
    <xf numFmtId="0" fontId="0" fillId="34" borderId="0" xfId="0" applyFill="1"/>
    <xf numFmtId="0" fontId="0" fillId="34" borderId="12" xfId="0" applyFill="1" applyBorder="1"/>
    <xf numFmtId="0" fontId="18" fillId="34" borderId="1" xfId="0" applyFont="1" applyFill="1" applyBorder="1"/>
    <xf numFmtId="9" fontId="18" fillId="34" borderId="2" xfId="0" applyNumberFormat="1" applyFont="1" applyFill="1" applyBorder="1"/>
    <xf numFmtId="0" fontId="18" fillId="34" borderId="2" xfId="0" applyFont="1" applyFill="1" applyBorder="1"/>
    <xf numFmtId="0" fontId="0" fillId="34" borderId="1" xfId="0" applyFill="1" applyBorder="1"/>
    <xf numFmtId="0" fontId="0" fillId="34" borderId="2" xfId="0" applyFill="1" applyBorder="1"/>
    <xf numFmtId="0" fontId="0" fillId="34" borderId="3" xfId="0" applyFill="1" applyBorder="1"/>
    <xf numFmtId="0" fontId="0" fillId="23" borderId="8" xfId="0" applyFill="1" applyBorder="1"/>
    <xf numFmtId="0" fontId="0" fillId="34" borderId="8" xfId="0" applyFill="1" applyBorder="1"/>
    <xf numFmtId="0" fontId="0" fillId="23" borderId="9" xfId="0" applyFill="1" applyBorder="1"/>
    <xf numFmtId="48" fontId="0" fillId="0" borderId="7" xfId="0" applyNumberFormat="1" applyBorder="1"/>
    <xf numFmtId="48" fontId="0" fillId="0" borderId="3" xfId="0" applyNumberFormat="1" applyBorder="1"/>
    <xf numFmtId="0" fontId="0" fillId="20" borderId="0" xfId="0" applyFill="1" applyAlignment="1">
      <alignment horizontal="center"/>
    </xf>
    <xf numFmtId="0" fontId="0" fillId="20" borderId="12" xfId="0" applyFill="1" applyBorder="1" applyAlignment="1">
      <alignment horizont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3" xfId="0" applyFont="1" applyBorder="1" applyAlignment="1">
      <alignment horizontal="center" vertical="center"/>
    </xf>
    <xf numFmtId="0" fontId="0" fillId="20" borderId="4" xfId="0" applyFill="1" applyBorder="1" applyAlignment="1">
      <alignment horizontal="center"/>
    </xf>
    <xf numFmtId="0" fontId="0" fillId="20" borderId="5" xfId="0" applyFill="1" applyBorder="1" applyAlignment="1">
      <alignment horizontal="center"/>
    </xf>
    <xf numFmtId="0" fontId="0" fillId="20" borderId="5" xfId="0" applyFill="1" applyBorder="1" applyAlignment="1">
      <alignment horizontal="center" vertical="center"/>
    </xf>
    <xf numFmtId="0" fontId="0" fillId="20" borderId="6" xfId="0" applyFill="1" applyBorder="1" applyAlignment="1">
      <alignment horizontal="center" vertical="center"/>
    </xf>
    <xf numFmtId="48" fontId="0" fillId="0" borderId="8" xfId="0" applyNumberFormat="1" applyBorder="1" applyAlignment="1">
      <alignment horizontal="center"/>
    </xf>
    <xf numFmtId="0" fontId="0" fillId="20" borderId="9" xfId="0" applyFill="1" applyBorder="1"/>
    <xf numFmtId="167" fontId="0" fillId="0" borderId="8" xfId="1" applyNumberFormat="1" applyFont="1" applyBorder="1" applyAlignment="1">
      <alignment horizontal="center"/>
    </xf>
    <xf numFmtId="167" fontId="0" fillId="0" borderId="11" xfId="1" applyNumberFormat="1" applyFont="1" applyFill="1" applyBorder="1" applyAlignment="1">
      <alignment horizontal="center" vertical="center"/>
    </xf>
    <xf numFmtId="173" fontId="0" fillId="0" borderId="0" xfId="0" applyNumberFormat="1"/>
    <xf numFmtId="3" fontId="0" fillId="0" borderId="3" xfId="0" applyNumberFormat="1" applyBorder="1" applyAlignment="1">
      <alignment horizontal="center" vertical="center"/>
    </xf>
    <xf numFmtId="3" fontId="0" fillId="0" borderId="8" xfId="0" applyNumberFormat="1" applyBorder="1" applyAlignment="1">
      <alignment horizontal="center"/>
    </xf>
    <xf numFmtId="3" fontId="2" fillId="20" borderId="10" xfId="0" applyNumberFormat="1" applyFont="1" applyFill="1" applyBorder="1" applyAlignment="1">
      <alignment horizontal="center"/>
    </xf>
    <xf numFmtId="4" fontId="0" fillId="0" borderId="10" xfId="0" applyNumberFormat="1" applyBorder="1" applyAlignment="1">
      <alignment horizontal="center"/>
    </xf>
    <xf numFmtId="11" fontId="0" fillId="0" borderId="0" xfId="0" applyNumberFormat="1"/>
    <xf numFmtId="11" fontId="86" fillId="0" borderId="2" xfId="3" applyNumberFormat="1" applyFont="1" applyBorder="1" applyAlignment="1">
      <alignment horizontal="right" vertical="center"/>
    </xf>
    <xf numFmtId="11" fontId="87" fillId="0" borderId="2" xfId="3" applyNumberFormat="1" applyFont="1" applyBorder="1" applyAlignment="1">
      <alignment horizontal="right" vertical="center"/>
    </xf>
    <xf numFmtId="11" fontId="87" fillId="0" borderId="3" xfId="3" applyNumberFormat="1" applyFont="1" applyBorder="1" applyAlignment="1">
      <alignment horizontal="right" vertical="center"/>
    </xf>
    <xf numFmtId="11" fontId="86" fillId="0" borderId="0" xfId="3" applyNumberFormat="1" applyFont="1" applyBorder="1" applyAlignment="1">
      <alignment horizontal="right"/>
    </xf>
    <xf numFmtId="11" fontId="0" fillId="0" borderId="10" xfId="0" applyNumberFormat="1" applyBorder="1"/>
    <xf numFmtId="11" fontId="0" fillId="0" borderId="13" xfId="0" applyNumberFormat="1" applyBorder="1"/>
    <xf numFmtId="11" fontId="0" fillId="0" borderId="5" xfId="0" applyNumberFormat="1" applyBorder="1"/>
    <xf numFmtId="11" fontId="0" fillId="0" borderId="6" xfId="0" applyNumberFormat="1" applyBorder="1"/>
    <xf numFmtId="11" fontId="0" fillId="0" borderId="4" xfId="0" applyNumberFormat="1" applyBorder="1"/>
    <xf numFmtId="11" fontId="0" fillId="0" borderId="2" xfId="0" applyNumberFormat="1" applyBorder="1"/>
    <xf numFmtId="11" fontId="0" fillId="0" borderId="3" xfId="0" applyNumberFormat="1" applyBorder="1"/>
    <xf numFmtId="9" fontId="0" fillId="0" borderId="1" xfId="1" applyFont="1" applyFill="1" applyBorder="1" applyAlignment="1">
      <alignment horizontal="center" vertical="center"/>
    </xf>
    <xf numFmtId="9" fontId="0" fillId="0" borderId="3" xfId="1" applyFont="1" applyFill="1" applyBorder="1" applyAlignment="1">
      <alignment horizontal="center" vertical="center"/>
    </xf>
    <xf numFmtId="9" fontId="0" fillId="0" borderId="8" xfId="1" applyFont="1" applyFill="1" applyBorder="1" applyAlignment="1">
      <alignment horizontal="center" vertical="center"/>
    </xf>
    <xf numFmtId="9" fontId="0" fillId="0" borderId="12" xfId="1" applyFont="1" applyFill="1" applyBorder="1" applyAlignment="1">
      <alignment horizontal="center" vertical="center"/>
    </xf>
    <xf numFmtId="9" fontId="0" fillId="0" borderId="9" xfId="1" applyFont="1" applyFill="1" applyBorder="1" applyAlignment="1">
      <alignment horizontal="center" vertical="center"/>
    </xf>
    <xf numFmtId="9" fontId="0" fillId="0" borderId="13" xfId="1" applyFont="1" applyFill="1" applyBorder="1" applyAlignment="1">
      <alignment horizontal="center" vertical="center"/>
    </xf>
    <xf numFmtId="0" fontId="0" fillId="20" borderId="7" xfId="0" applyFill="1" applyBorder="1" applyAlignment="1">
      <alignment horizontal="center" vertical="center"/>
    </xf>
    <xf numFmtId="0" fontId="88" fillId="35" borderId="69" xfId="0" applyFont="1" applyFill="1" applyBorder="1"/>
    <xf numFmtId="3" fontId="56" fillId="0" borderId="69" xfId="0" applyNumberFormat="1" applyFont="1" applyBorder="1"/>
    <xf numFmtId="0" fontId="56" fillId="0" borderId="69" xfId="0" applyFont="1" applyBorder="1"/>
    <xf numFmtId="0" fontId="88" fillId="0" borderId="0" xfId="0" applyFont="1"/>
    <xf numFmtId="0" fontId="42" fillId="0" borderId="0" xfId="0" applyFont="1"/>
    <xf numFmtId="0" fontId="88" fillId="0" borderId="69" xfId="0" applyFont="1" applyBorder="1"/>
    <xf numFmtId="173" fontId="18" fillId="10" borderId="14" xfId="0" applyNumberFormat="1" applyFont="1" applyFill="1" applyBorder="1"/>
    <xf numFmtId="3" fontId="0" fillId="10" borderId="1" xfId="0" applyNumberFormat="1" applyFill="1" applyBorder="1" applyAlignment="1">
      <alignment horizontal="center"/>
    </xf>
    <xf numFmtId="3" fontId="0" fillId="10" borderId="2" xfId="0" applyNumberFormat="1" applyFill="1" applyBorder="1" applyAlignment="1">
      <alignment horizontal="center"/>
    </xf>
    <xf numFmtId="3" fontId="0" fillId="10" borderId="3" xfId="0" applyNumberFormat="1" applyFill="1" applyBorder="1" applyAlignment="1">
      <alignment horizontal="center"/>
    </xf>
    <xf numFmtId="0" fontId="0" fillId="21" borderId="8" xfId="0" applyFill="1" applyBorder="1" applyAlignment="1">
      <alignment horizontal="center"/>
    </xf>
    <xf numFmtId="0" fontId="0" fillId="21" borderId="0" xfId="0" applyFill="1" applyAlignment="1">
      <alignment horizontal="center"/>
    </xf>
    <xf numFmtId="0" fontId="0" fillId="21" borderId="12" xfId="0" applyFill="1" applyBorder="1" applyAlignment="1">
      <alignment horizontal="center"/>
    </xf>
    <xf numFmtId="3" fontId="0" fillId="0" borderId="3" xfId="0" applyNumberFormat="1" applyBorder="1" applyAlignment="1">
      <alignment horizontal="center"/>
    </xf>
    <xf numFmtId="0" fontId="0" fillId="21" borderId="9" xfId="0" applyFill="1" applyBorder="1" applyAlignment="1">
      <alignment horizontal="center"/>
    </xf>
    <xf numFmtId="0" fontId="0" fillId="21" borderId="10" xfId="0" applyFill="1" applyBorder="1" applyAlignment="1">
      <alignment horizontal="center"/>
    </xf>
    <xf numFmtId="0" fontId="0" fillId="21" borderId="13" xfId="0" applyFill="1" applyBorder="1" applyAlignment="1">
      <alignment horizontal="center"/>
    </xf>
    <xf numFmtId="167" fontId="0" fillId="0" borderId="0" xfId="1" applyNumberFormat="1" applyFont="1" applyBorder="1" applyAlignment="1">
      <alignment horizontal="center"/>
    </xf>
    <xf numFmtId="10" fontId="0" fillId="0" borderId="12" xfId="1" applyNumberFormat="1" applyFont="1" applyBorder="1" applyAlignment="1">
      <alignment horizontal="center"/>
    </xf>
    <xf numFmtId="4" fontId="0" fillId="0" borderId="1" xfId="0" applyNumberFormat="1" applyBorder="1" applyAlignment="1">
      <alignment horizontal="center"/>
    </xf>
    <xf numFmtId="0" fontId="0" fillId="0" borderId="0" xfId="0" applyAlignment="1">
      <alignment horizontal="right"/>
    </xf>
    <xf numFmtId="9" fontId="0" fillId="0" borderId="7" xfId="1" applyFont="1" applyBorder="1" applyAlignment="1">
      <alignment horizontal="center"/>
    </xf>
    <xf numFmtId="4" fontId="0" fillId="0" borderId="14" xfId="0" applyNumberFormat="1" applyBorder="1" applyAlignment="1">
      <alignment horizontal="center"/>
    </xf>
    <xf numFmtId="9" fontId="0" fillId="0" borderId="14" xfId="1" applyFont="1" applyBorder="1" applyAlignment="1">
      <alignment horizontal="center"/>
    </xf>
    <xf numFmtId="4" fontId="0" fillId="0" borderId="24" xfId="0" applyNumberFormat="1" applyBorder="1" applyAlignment="1">
      <alignment horizontal="center"/>
    </xf>
    <xf numFmtId="9" fontId="0" fillId="0" borderId="24" xfId="1" applyFont="1" applyBorder="1" applyAlignment="1">
      <alignment horizontal="center"/>
    </xf>
    <xf numFmtId="0" fontId="0" fillId="0" borderId="14" xfId="0" applyBorder="1" applyAlignment="1">
      <alignment horizontal="center"/>
    </xf>
    <xf numFmtId="0" fontId="0" fillId="20" borderId="5" xfId="0" applyFill="1" applyBorder="1"/>
    <xf numFmtId="166" fontId="17" fillId="0" borderId="0" xfId="0" applyNumberFormat="1" applyFont="1" applyAlignment="1">
      <alignment horizontal="center"/>
    </xf>
    <xf numFmtId="166" fontId="17" fillId="0" borderId="12" xfId="0" applyNumberFormat="1" applyFont="1" applyBorder="1" applyAlignment="1">
      <alignment horizontal="center"/>
    </xf>
    <xf numFmtId="3" fontId="0" fillId="20" borderId="9" xfId="0" applyNumberFormat="1" applyFill="1" applyBorder="1" applyAlignment="1">
      <alignment horizontal="center"/>
    </xf>
    <xf numFmtId="0" fontId="2" fillId="0" borderId="8" xfId="0" applyFont="1" applyBorder="1" applyAlignment="1">
      <alignment horizontal="left" vertical="center" indent="1"/>
    </xf>
    <xf numFmtId="0" fontId="0" fillId="0" borderId="8" xfId="0" applyBorder="1" applyAlignment="1">
      <alignment horizontal="left" vertical="center" indent="2"/>
    </xf>
    <xf numFmtId="0" fontId="0" fillId="0" borderId="9" xfId="0" applyBorder="1" applyAlignment="1">
      <alignment horizontal="left" vertical="center" indent="2"/>
    </xf>
    <xf numFmtId="0" fontId="35" fillId="0" borderId="0" xfId="0" applyFont="1" applyAlignment="1">
      <alignment horizontal="left" vertical="center"/>
    </xf>
    <xf numFmtId="0" fontId="18" fillId="0" borderId="7" xfId="1" applyNumberFormat="1" applyFont="1" applyBorder="1"/>
    <xf numFmtId="0" fontId="18" fillId="0" borderId="14" xfId="1" applyNumberFormat="1" applyFont="1" applyBorder="1"/>
    <xf numFmtId="0" fontId="18" fillId="0" borderId="24" xfId="1" applyNumberFormat="1" applyFont="1" applyBorder="1"/>
    <xf numFmtId="173" fontId="45" fillId="27" borderId="13" xfId="0" applyNumberFormat="1" applyFont="1" applyFill="1" applyBorder="1"/>
    <xf numFmtId="2" fontId="2" fillId="0" borderId="0" xfId="0" applyNumberFormat="1" applyFont="1" applyAlignment="1">
      <alignment horizontal="center" vertical="center"/>
    </xf>
    <xf numFmtId="0" fontId="52" fillId="0" borderId="0" xfId="0" applyFont="1" applyAlignment="1">
      <alignment vertical="center"/>
    </xf>
    <xf numFmtId="0" fontId="2" fillId="10" borderId="1" xfId="0" applyFont="1" applyFill="1" applyBorder="1" applyAlignment="1">
      <alignment vertical="center"/>
    </xf>
    <xf numFmtId="0" fontId="2" fillId="10" borderId="8" xfId="0" applyFont="1" applyFill="1" applyBorder="1" applyAlignment="1">
      <alignment vertical="center"/>
    </xf>
    <xf numFmtId="0" fontId="22" fillId="0" borderId="0" xfId="2" applyAlignment="1">
      <alignment vertical="center"/>
    </xf>
    <xf numFmtId="0" fontId="50" fillId="0" borderId="0" xfId="0" applyFont="1" applyAlignment="1">
      <alignment vertical="center"/>
    </xf>
    <xf numFmtId="0" fontId="89" fillId="0" borderId="0" xfId="0" applyFont="1"/>
    <xf numFmtId="0" fontId="90" fillId="0" borderId="0" xfId="0" applyFont="1" applyAlignment="1">
      <alignment horizontal="center" vertical="center"/>
    </xf>
    <xf numFmtId="0" fontId="19" fillId="0" borderId="0" xfId="0" applyFont="1" applyAlignment="1">
      <alignment horizontal="center"/>
    </xf>
    <xf numFmtId="0" fontId="91" fillId="0" borderId="0" xfId="0" applyFont="1" applyAlignment="1">
      <alignment horizontal="left" vertical="center"/>
    </xf>
    <xf numFmtId="0" fontId="2" fillId="0" borderId="0" xfId="0" applyFont="1" applyAlignment="1">
      <alignment horizontal="left" vertical="center"/>
    </xf>
    <xf numFmtId="14" fontId="0" fillId="0" borderId="0" xfId="0" applyNumberFormat="1" applyAlignment="1">
      <alignment horizontal="left" vertical="center"/>
    </xf>
    <xf numFmtId="0" fontId="62" fillId="33" borderId="0" xfId="0" applyFont="1" applyFill="1" applyAlignment="1">
      <alignment horizontal="left" vertical="center"/>
    </xf>
    <xf numFmtId="0" fontId="92" fillId="33" borderId="0" xfId="0" applyFont="1" applyFill="1" applyAlignment="1">
      <alignment horizontal="center"/>
    </xf>
    <xf numFmtId="0" fontId="92" fillId="33" borderId="0" xfId="0" applyFont="1" applyFill="1"/>
    <xf numFmtId="0" fontId="93" fillId="0" borderId="0" xfId="0" applyFont="1" applyAlignment="1">
      <alignment horizontal="center" vertical="center"/>
    </xf>
    <xf numFmtId="0" fontId="2" fillId="15" borderId="0" xfId="0" applyFont="1" applyFill="1"/>
    <xf numFmtId="0" fontId="95" fillId="0" borderId="0" xfId="0" applyFont="1"/>
    <xf numFmtId="0" fontId="96" fillId="0" borderId="0" xfId="0" applyFont="1"/>
    <xf numFmtId="0" fontId="22" fillId="9" borderId="0" xfId="2" applyFill="1"/>
    <xf numFmtId="0" fontId="38" fillId="21" borderId="0" xfId="2" applyFont="1" applyFill="1"/>
    <xf numFmtId="0" fontId="94" fillId="24" borderId="0" xfId="2" applyFont="1" applyFill="1" applyBorder="1" applyAlignment="1">
      <alignment horizontal="center" vertical="center" wrapText="1"/>
    </xf>
    <xf numFmtId="0" fontId="3" fillId="0" borderId="7" xfId="0" applyFont="1" applyBorder="1" applyAlignment="1">
      <alignment horizontal="center" vertical="center" textRotation="90"/>
    </xf>
    <xf numFmtId="0" fontId="3" fillId="0" borderId="14" xfId="0" applyFont="1" applyBorder="1" applyAlignment="1">
      <alignment horizontal="center" vertical="center" textRotation="90"/>
    </xf>
    <xf numFmtId="0" fontId="3" fillId="0" borderId="24" xfId="0" applyFont="1" applyBorder="1" applyAlignment="1">
      <alignment horizontal="center" vertical="center" textRotation="90"/>
    </xf>
    <xf numFmtId="0" fontId="13" fillId="6" borderId="12"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7" borderId="17"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20"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65" xfId="0" applyFont="1" applyFill="1" applyBorder="1" applyAlignment="1">
      <alignment horizontal="left" vertical="center" wrapText="1"/>
    </xf>
    <xf numFmtId="0" fontId="13" fillId="7"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6" borderId="66"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3" fillId="6" borderId="15" xfId="0" applyFont="1" applyFill="1" applyBorder="1" applyAlignment="1">
      <alignment horizontal="left" vertical="center" wrapText="1"/>
    </xf>
    <xf numFmtId="0" fontId="13" fillId="6" borderId="63"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12" fillId="6" borderId="0" xfId="0" applyFont="1" applyFill="1" applyAlignment="1">
      <alignment horizontal="left" vertical="center" wrapText="1"/>
    </xf>
    <xf numFmtId="0" fontId="12" fillId="6" borderId="15" xfId="0" applyFont="1" applyFill="1" applyBorder="1" applyAlignment="1">
      <alignment horizontal="left" vertical="center" wrapText="1"/>
    </xf>
    <xf numFmtId="0" fontId="14" fillId="7" borderId="61"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14" fillId="8" borderId="62"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41" fillId="10" borderId="0" xfId="0" applyFont="1" applyFill="1"/>
  </cellXfs>
  <cellStyles count="6">
    <cellStyle name="Lien hypertexte" xfId="2" builtinId="8"/>
    <cellStyle name="Milliers" xfId="3" builtinId="3"/>
    <cellStyle name="Normal" xfId="0" builtinId="0"/>
    <cellStyle name="Normal 2" xfId="4" xr:uid="{0AD83AC8-3E7E-4DA7-B0DE-09B22167FB0A}"/>
    <cellStyle name="Normal_Chap. 6 Tableaux_Annexe" xfId="5" xr:uid="{65F1B303-618C-45CC-8AEE-02B8BD258B3E}"/>
    <cellStyle name="Pourcentage" xfId="1" builtinId="5"/>
  </cellStyles>
  <dxfs count="12">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
      <font>
        <color rgb="FF006100"/>
      </font>
      <fill>
        <patternFill patternType="solid">
          <fgColor rgb="FFC6EFCE"/>
          <bgColor rgb="FFC6EFCE"/>
        </patternFill>
      </fill>
    </dxf>
    <dxf>
      <font>
        <color theme="0"/>
      </font>
      <fill>
        <patternFill patternType="solid">
          <fgColor rgb="FF385623"/>
          <bgColor rgb="FF385623"/>
        </patternFill>
      </fill>
    </dxf>
    <dxf>
      <font>
        <color theme="0"/>
      </font>
      <fill>
        <patternFill patternType="solid">
          <fgColor rgb="FF833C0B"/>
          <bgColor rgb="FF833C0B"/>
        </patternFill>
      </fill>
    </dxf>
    <dxf>
      <font>
        <color theme="0"/>
      </font>
      <fill>
        <patternFill patternType="solid">
          <fgColor rgb="FFBFBFBF"/>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Ex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Ex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Ex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Dépenses</a:t>
            </a:r>
            <a:r>
              <a:rPr lang="en-US" b="1" baseline="0"/>
              <a:t> défavorables à l'environnement</a:t>
            </a:r>
            <a:r>
              <a:rPr lang="en-US" b="1"/>
              <a:t> (M€ annuels)</a:t>
            </a:r>
          </a:p>
        </c:rich>
      </c:tx>
      <c:layout>
        <c:manualLayout>
          <c:xMode val="edge"/>
          <c:yMode val="edge"/>
          <c:x val="5.1168985185932714E-5"/>
          <c:y val="2.3866094963316756E-4"/>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4843942424716713"/>
          <c:y val="0"/>
          <c:w val="0.59589811403060788"/>
          <c:h val="1"/>
        </c:manualLayout>
      </c:layout>
      <c:pieChart>
        <c:varyColors val="1"/>
        <c:ser>
          <c:idx val="0"/>
          <c:order val="0"/>
          <c:tx>
            <c:strRef>
              <c:f>Synthèse!$F$94</c:f>
              <c:strCache>
                <c:ptCount val="1"/>
                <c:pt idx="0">
                  <c:v>Défavorable (M€)</c:v>
                </c:pt>
              </c:strCache>
            </c:strRef>
          </c:tx>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9-7669-4C7F-96F6-F4258C05A3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7669-4C7F-96F6-F4258C05A368}"/>
              </c:ext>
            </c:extLst>
          </c:dPt>
          <c:dPt>
            <c:idx val="2"/>
            <c:bubble3D val="0"/>
            <c:spPr>
              <a:solidFill>
                <a:schemeClr val="accent3">
                  <a:lumMod val="20000"/>
                  <a:lumOff val="80000"/>
                </a:schemeClr>
              </a:solidFill>
              <a:ln w="19050">
                <a:solidFill>
                  <a:schemeClr val="lt1"/>
                </a:solidFill>
              </a:ln>
              <a:effectLst/>
            </c:spPr>
            <c:extLst>
              <c:ext xmlns:c16="http://schemas.microsoft.com/office/drawing/2014/chart" uri="{C3380CC4-5D6E-409C-BE32-E72D297353CC}">
                <c16:uniqueId val="{0000000A-7669-4C7F-96F6-F4258C05A368}"/>
              </c:ext>
            </c:extLst>
          </c:dPt>
          <c:dPt>
            <c:idx val="3"/>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2-7669-4C7F-96F6-F4258C05A368}"/>
              </c:ext>
            </c:extLst>
          </c:dPt>
          <c:dPt>
            <c:idx val="4"/>
            <c:bubble3D val="0"/>
            <c:spPr>
              <a:solidFill>
                <a:schemeClr val="tx2">
                  <a:lumMod val="75000"/>
                  <a:lumOff val="25000"/>
                </a:schemeClr>
              </a:solidFill>
              <a:ln w="19050">
                <a:solidFill>
                  <a:schemeClr val="accent1">
                    <a:lumMod val="75000"/>
                  </a:schemeClr>
                </a:solidFill>
              </a:ln>
              <a:effectLst/>
            </c:spPr>
            <c:extLst>
              <c:ext xmlns:c16="http://schemas.microsoft.com/office/drawing/2014/chart" uri="{C3380CC4-5D6E-409C-BE32-E72D297353CC}">
                <c16:uniqueId val="{00000005-7669-4C7F-96F6-F4258C05A368}"/>
              </c:ext>
            </c:extLst>
          </c:dPt>
          <c:dPt>
            <c:idx val="5"/>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3-7669-4C7F-96F6-F4258C05A368}"/>
              </c:ext>
            </c:extLst>
          </c:dPt>
          <c:dPt>
            <c:idx val="6"/>
            <c:bubble3D val="0"/>
            <c:spPr>
              <a:solidFill>
                <a:schemeClr val="tx2">
                  <a:lumMod val="25000"/>
                  <a:lumOff val="75000"/>
                </a:schemeClr>
              </a:solidFill>
              <a:ln w="19050">
                <a:solidFill>
                  <a:schemeClr val="lt1"/>
                </a:solidFill>
              </a:ln>
              <a:effectLst/>
            </c:spPr>
            <c:extLst>
              <c:ext xmlns:c16="http://schemas.microsoft.com/office/drawing/2014/chart" uri="{C3380CC4-5D6E-409C-BE32-E72D297353CC}">
                <c16:uniqueId val="{00000008-7669-4C7F-96F6-F4258C05A368}"/>
              </c:ext>
            </c:extLst>
          </c:dPt>
          <c:dPt>
            <c:idx val="7"/>
            <c:bubble3D val="0"/>
            <c:spPr>
              <a:solidFill>
                <a:schemeClr val="accent4">
                  <a:lumMod val="20000"/>
                  <a:lumOff val="80000"/>
                </a:schemeClr>
              </a:solidFill>
              <a:ln w="19050">
                <a:solidFill>
                  <a:schemeClr val="lt1"/>
                </a:solidFill>
              </a:ln>
              <a:effectLst/>
            </c:spPr>
            <c:extLst>
              <c:ext xmlns:c16="http://schemas.microsoft.com/office/drawing/2014/chart" uri="{C3380CC4-5D6E-409C-BE32-E72D297353CC}">
                <c16:uniqueId val="{00000007-7669-4C7F-96F6-F4258C05A36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4-7669-4C7F-96F6-F4258C05A368}"/>
              </c:ext>
            </c:extLst>
          </c:dPt>
          <c:dPt>
            <c:idx val="9"/>
            <c:bubble3D val="0"/>
            <c:spPr>
              <a:solidFill>
                <a:schemeClr val="bg2">
                  <a:lumMod val="75000"/>
                </a:schemeClr>
              </a:solidFill>
              <a:ln w="19050">
                <a:solidFill>
                  <a:schemeClr val="lt1"/>
                </a:solidFill>
              </a:ln>
              <a:effectLst/>
            </c:spPr>
            <c:extLst>
              <c:ext xmlns:c16="http://schemas.microsoft.com/office/drawing/2014/chart" uri="{C3380CC4-5D6E-409C-BE32-E72D297353CC}">
                <c16:uniqueId val="{00000006-7669-4C7F-96F6-F4258C05A36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3E2-4A0D-A770-39CADB91CEEA}"/>
              </c:ext>
            </c:extLst>
          </c:dPt>
          <c:cat>
            <c:strRef>
              <c:f>Synthèse!$C$95:$C$105</c:f>
              <c:strCache>
                <c:ptCount val="11"/>
                <c:pt idx="0">
                  <c:v>Rénovation des bâtiments tertiaires</c:v>
                </c:pt>
                <c:pt idx="1">
                  <c:v>Restauration collective </c:v>
                </c:pt>
                <c:pt idx="2">
                  <c:v>Dépenses bâtimentaires - Construction tertiaire neuve </c:v>
                </c:pt>
                <c:pt idx="3">
                  <c:v>Dépenses énergétiques </c:v>
                </c:pt>
                <c:pt idx="4">
                  <c:v>Véhicules particuliers </c:v>
                </c:pt>
                <c:pt idx="5">
                  <c:v>Véhicules utilitaires légers </c:v>
                </c:pt>
                <c:pt idx="6">
                  <c:v>Bus &amp; Cars </c:v>
                </c:pt>
                <c:pt idx="7">
                  <c:v>Subventions aux aéroports régionaux</c:v>
                </c:pt>
                <c:pt idx="8">
                  <c:v>Matériel roulant ferroviaire</c:v>
                </c:pt>
                <c:pt idx="9">
                  <c:v>Construction de nouvelles routes</c:v>
                </c:pt>
                <c:pt idx="10">
                  <c:v>Matériel informatique</c:v>
                </c:pt>
              </c:strCache>
            </c:strRef>
          </c:cat>
          <c:val>
            <c:numRef>
              <c:f>Synthèse!$F$95:$F$105</c:f>
              <c:numCache>
                <c:formatCode>General</c:formatCode>
                <c:ptCount val="11"/>
                <c:pt idx="0" formatCode="#,##0">
                  <c:v>335.48251784312123</c:v>
                </c:pt>
                <c:pt idx="1">
                  <c:v>86.617051946679993</c:v>
                </c:pt>
                <c:pt idx="2" formatCode="0.00">
                  <c:v>2897.9369413372947</c:v>
                </c:pt>
                <c:pt idx="3" formatCode="0.00">
                  <c:v>2683.3284796753874</c:v>
                </c:pt>
                <c:pt idx="4" formatCode="#,##0">
                  <c:v>131.26473492305095</c:v>
                </c:pt>
                <c:pt idx="5" formatCode="#,##0">
                  <c:v>235.75158222621704</c:v>
                </c:pt>
                <c:pt idx="6" formatCode="#,##0">
                  <c:v>159.4265252994058</c:v>
                </c:pt>
                <c:pt idx="7" formatCode="#,##0">
                  <c:v>64.2</c:v>
                </c:pt>
                <c:pt idx="8" formatCode="#,##0">
                  <c:v>0</c:v>
                </c:pt>
                <c:pt idx="9" formatCode="#,##0">
                  <c:v>1496.2720677097618</c:v>
                </c:pt>
                <c:pt idx="10">
                  <c:v>0</c:v>
                </c:pt>
              </c:numCache>
            </c:numRef>
          </c:val>
          <c:extLst>
            <c:ext xmlns:c16="http://schemas.microsoft.com/office/drawing/2014/chart" uri="{C3380CC4-5D6E-409C-BE32-E72D297353CC}">
              <c16:uniqueId val="{00000000-7669-4C7F-96F6-F4258C05A368}"/>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10"/>
        <c:delete val="1"/>
      </c:legendEntry>
      <c:layout>
        <c:manualLayout>
          <c:xMode val="edge"/>
          <c:yMode val="edge"/>
          <c:x val="0.74937169052032704"/>
          <c:y val="2.143052469240803E-2"/>
          <c:w val="0.22288544360598431"/>
          <c:h val="0.9632268106928138"/>
        </c:manualLayout>
      </c:layout>
      <c:overlay val="0"/>
      <c:spPr>
        <a:noFill/>
        <a:ln>
          <a:noFill/>
        </a:ln>
        <a:effectLst/>
      </c:spPr>
      <c:txPr>
        <a:bodyPr rot="0" spcFirstLastPara="1" vertOverflow="ellipsis" vert="horz" wrap="square" anchor="ctr" anchorCtr="1"/>
        <a:lstStyle/>
        <a:p>
          <a:pPr>
            <a:defRPr sz="20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Economies</a:t>
            </a:r>
            <a:r>
              <a:rPr lang="fr-FR" baseline="0"/>
              <a:t> réalisées 2017 -2023 : bâtiments (gaz, électricité, fioul), véhicules (diesel, essence) &amp; éclairage public (électricité) - Mds € courants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6.8047191402541812E-2"/>
          <c:y val="8.387126329204117E-3"/>
          <c:w val="0.93195280859745822"/>
          <c:h val="0.84703435036533392"/>
        </c:manualLayout>
      </c:layout>
      <c:lineChart>
        <c:grouping val="standard"/>
        <c:varyColors val="0"/>
        <c:ser>
          <c:idx val="0"/>
          <c:order val="0"/>
          <c:tx>
            <c:v>Total consommation inchangée 2017</c:v>
          </c:tx>
          <c:spPr>
            <a:ln w="28575" cap="rnd">
              <a:solidFill>
                <a:schemeClr val="accent1"/>
              </a:solidFill>
              <a:round/>
            </a:ln>
            <a:effectLst/>
          </c:spPr>
          <c:marker>
            <c:symbol val="none"/>
          </c:marker>
          <c:cat>
            <c:numRef>
              <c:f>axENER!$M$396:$S$396</c:f>
              <c:numCache>
                <c:formatCode>General</c:formatCode>
                <c:ptCount val="7"/>
                <c:pt idx="0">
                  <c:v>2017</c:v>
                </c:pt>
                <c:pt idx="1">
                  <c:v>2018</c:v>
                </c:pt>
                <c:pt idx="2">
                  <c:v>2019</c:v>
                </c:pt>
                <c:pt idx="3">
                  <c:v>2020</c:v>
                </c:pt>
                <c:pt idx="4">
                  <c:v>2021</c:v>
                </c:pt>
                <c:pt idx="5">
                  <c:v>2022</c:v>
                </c:pt>
                <c:pt idx="6">
                  <c:v>2023</c:v>
                </c:pt>
              </c:numCache>
            </c:numRef>
          </c:cat>
          <c:val>
            <c:numRef>
              <c:f>axENER!$M$397:$S$397</c:f>
              <c:numCache>
                <c:formatCode>0.00</c:formatCode>
                <c:ptCount val="7"/>
                <c:pt idx="0">
                  <c:v>3.6140075927591049</c:v>
                </c:pt>
                <c:pt idx="1">
                  <c:v>3.8243093542359325</c:v>
                </c:pt>
                <c:pt idx="2">
                  <c:v>3.9165326343577371</c:v>
                </c:pt>
                <c:pt idx="3">
                  <c:v>3.7713027634545728</c:v>
                </c:pt>
                <c:pt idx="4">
                  <c:v>4.1155887314222159</c:v>
                </c:pt>
                <c:pt idx="5">
                  <c:v>5.1318810452298882</c:v>
                </c:pt>
                <c:pt idx="6">
                  <c:v>7.0847264032908503</c:v>
                </c:pt>
              </c:numCache>
            </c:numRef>
          </c:val>
          <c:smooth val="0"/>
          <c:extLst>
            <c:ext xmlns:c16="http://schemas.microsoft.com/office/drawing/2014/chart" uri="{C3380CC4-5D6E-409C-BE32-E72D297353CC}">
              <c16:uniqueId val="{00000000-0E18-4F69-BD65-85B5FC15F7A9}"/>
            </c:ext>
          </c:extLst>
        </c:ser>
        <c:ser>
          <c:idx val="1"/>
          <c:order val="1"/>
          <c:tx>
            <c:v>Total consommation réelle</c:v>
          </c:tx>
          <c:spPr>
            <a:ln w="28575" cap="rnd">
              <a:solidFill>
                <a:schemeClr val="accent2"/>
              </a:solidFill>
              <a:round/>
            </a:ln>
            <a:effectLst/>
          </c:spPr>
          <c:marker>
            <c:symbol val="none"/>
          </c:marker>
          <c:cat>
            <c:numRef>
              <c:f>axENER!$M$396:$S$396</c:f>
              <c:numCache>
                <c:formatCode>General</c:formatCode>
                <c:ptCount val="7"/>
                <c:pt idx="0">
                  <c:v>2017</c:v>
                </c:pt>
                <c:pt idx="1">
                  <c:v>2018</c:v>
                </c:pt>
                <c:pt idx="2">
                  <c:v>2019</c:v>
                </c:pt>
                <c:pt idx="3">
                  <c:v>2020</c:v>
                </c:pt>
                <c:pt idx="4">
                  <c:v>2021</c:v>
                </c:pt>
                <c:pt idx="5">
                  <c:v>2022</c:v>
                </c:pt>
                <c:pt idx="6">
                  <c:v>2023</c:v>
                </c:pt>
              </c:numCache>
            </c:numRef>
          </c:cat>
          <c:val>
            <c:numRef>
              <c:f>axENER!$M$398:$S$398</c:f>
              <c:numCache>
                <c:formatCode>0.00</c:formatCode>
                <c:ptCount val="7"/>
                <c:pt idx="0">
                  <c:v>3.6140075927591049</c:v>
                </c:pt>
                <c:pt idx="1">
                  <c:v>3.7872719162443174</c:v>
                </c:pt>
                <c:pt idx="2">
                  <c:v>3.8191951416863512</c:v>
                </c:pt>
                <c:pt idx="3">
                  <c:v>3.5924151967452116</c:v>
                </c:pt>
                <c:pt idx="4">
                  <c:v>3.8199378096888097</c:v>
                </c:pt>
                <c:pt idx="5">
                  <c:v>4.7698267493322684</c:v>
                </c:pt>
                <c:pt idx="6">
                  <c:v>5.7766207959059219</c:v>
                </c:pt>
              </c:numCache>
            </c:numRef>
          </c:val>
          <c:smooth val="0"/>
          <c:extLst>
            <c:ext xmlns:c16="http://schemas.microsoft.com/office/drawing/2014/chart" uri="{C3380CC4-5D6E-409C-BE32-E72D297353CC}">
              <c16:uniqueId val="{00000001-0E18-4F69-BD65-85B5FC15F7A9}"/>
            </c:ext>
          </c:extLst>
        </c:ser>
        <c:dLbls>
          <c:showLegendKey val="0"/>
          <c:showVal val="0"/>
          <c:showCatName val="0"/>
          <c:showSerName val="0"/>
          <c:showPercent val="0"/>
          <c:showBubbleSize val="0"/>
        </c:dLbls>
        <c:smooth val="0"/>
        <c:axId val="1832222031"/>
        <c:axId val="1832233071"/>
        <c:extLst>
          <c:ext xmlns:c15="http://schemas.microsoft.com/office/drawing/2012/chart" uri="{02D57815-91ED-43cb-92C2-25804820EDAC}">
            <c15:filteredLineSeries>
              <c15:ser>
                <c:idx val="2"/>
                <c:order val="2"/>
                <c:tx>
                  <c:strRef>
                    <c:extLst>
                      <c:ext uri="{02D57815-91ED-43cb-92C2-25804820EDAC}">
                        <c15:formulaRef>
                          <c15:sqref>axENER!$M$396</c15:sqref>
                        </c15:formulaRef>
                      </c:ext>
                    </c:extLst>
                    <c:strCache>
                      <c:ptCount val="1"/>
                      <c:pt idx="0">
                        <c:v>2017</c:v>
                      </c:pt>
                    </c:strCache>
                  </c:strRef>
                </c:tx>
                <c:spPr>
                  <a:ln w="28575" cap="rnd">
                    <a:solidFill>
                      <a:schemeClr val="accent3"/>
                    </a:solidFill>
                    <a:round/>
                  </a:ln>
                  <a:effectLst/>
                </c:spPr>
                <c:marker>
                  <c:symbol val="none"/>
                </c:marker>
                <c:cat>
                  <c:numRef>
                    <c:extLst>
                      <c:ext uri="{02D57815-91ED-43cb-92C2-25804820EDAC}">
                        <c15:formulaRef>
                          <c15:sqref>axENER!$M$396:$S$396</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c:ext uri="{02D57815-91ED-43cb-92C2-25804820EDAC}">
                        <c15:formulaRef>
                          <c15:sqref>axENER!$N$396:$S$396</c15:sqref>
                        </c15:formulaRef>
                      </c:ext>
                    </c:extLst>
                    <c:numCache>
                      <c:formatCode>General</c:formatCode>
                      <c:ptCount val="6"/>
                      <c:pt idx="0">
                        <c:v>2018</c:v>
                      </c:pt>
                      <c:pt idx="1">
                        <c:v>2019</c:v>
                      </c:pt>
                      <c:pt idx="2">
                        <c:v>2020</c:v>
                      </c:pt>
                      <c:pt idx="3">
                        <c:v>2021</c:v>
                      </c:pt>
                      <c:pt idx="4">
                        <c:v>2022</c:v>
                      </c:pt>
                      <c:pt idx="5">
                        <c:v>2023</c:v>
                      </c:pt>
                    </c:numCache>
                  </c:numRef>
                </c:val>
                <c:smooth val="0"/>
                <c:extLst>
                  <c:ext xmlns:c16="http://schemas.microsoft.com/office/drawing/2014/chart" uri="{C3380CC4-5D6E-409C-BE32-E72D297353CC}">
                    <c16:uniqueId val="{00000002-0E18-4F69-BD65-85B5FC15F7A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axENER!$M$397</c15:sqref>
                        </c15:formulaRef>
                      </c:ext>
                    </c:extLst>
                    <c:strCache>
                      <c:ptCount val="1"/>
                      <c:pt idx="0">
                        <c:v>3,61</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axENER!$M$396:$S$396</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axENER!$N$397:$S$397</c15:sqref>
                        </c15:formulaRef>
                      </c:ext>
                    </c:extLst>
                    <c:numCache>
                      <c:formatCode>0.00</c:formatCode>
                      <c:ptCount val="6"/>
                      <c:pt idx="0">
                        <c:v>3.8243093542359325</c:v>
                      </c:pt>
                      <c:pt idx="1">
                        <c:v>3.9165326343577371</c:v>
                      </c:pt>
                      <c:pt idx="2">
                        <c:v>3.7713027634545728</c:v>
                      </c:pt>
                      <c:pt idx="3">
                        <c:v>4.1155887314222159</c:v>
                      </c:pt>
                      <c:pt idx="4">
                        <c:v>5.1318810452298882</c:v>
                      </c:pt>
                      <c:pt idx="5">
                        <c:v>7.0847264032908503</c:v>
                      </c:pt>
                    </c:numCache>
                  </c:numRef>
                </c:val>
                <c:smooth val="0"/>
                <c:extLst xmlns:c15="http://schemas.microsoft.com/office/drawing/2012/chart">
                  <c:ext xmlns:c16="http://schemas.microsoft.com/office/drawing/2014/chart" uri="{C3380CC4-5D6E-409C-BE32-E72D297353CC}">
                    <c16:uniqueId val="{00000003-0E18-4F69-BD65-85B5FC15F7A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axENER!$M$398</c15:sqref>
                        </c15:formulaRef>
                      </c:ext>
                    </c:extLst>
                    <c:strCache>
                      <c:ptCount val="1"/>
                      <c:pt idx="0">
                        <c:v>3,61</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axENER!$M$396:$S$396</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xmlns:c15="http://schemas.microsoft.com/office/drawing/2012/chart">
                      <c:ext xmlns:c15="http://schemas.microsoft.com/office/drawing/2012/chart" uri="{02D57815-91ED-43cb-92C2-25804820EDAC}">
                        <c15:formulaRef>
                          <c15:sqref>axENER!$M$398:$S$398</c15:sqref>
                        </c15:formulaRef>
                      </c:ext>
                    </c:extLst>
                    <c:numCache>
                      <c:formatCode>0.00</c:formatCode>
                      <c:ptCount val="7"/>
                      <c:pt idx="0">
                        <c:v>3.6140075927591049</c:v>
                      </c:pt>
                      <c:pt idx="1">
                        <c:v>3.7872719162443174</c:v>
                      </c:pt>
                      <c:pt idx="2">
                        <c:v>3.8191951416863512</c:v>
                      </c:pt>
                      <c:pt idx="3">
                        <c:v>3.5924151967452116</c:v>
                      </c:pt>
                      <c:pt idx="4">
                        <c:v>3.8199378096888097</c:v>
                      </c:pt>
                      <c:pt idx="5">
                        <c:v>4.7698267493322684</c:v>
                      </c:pt>
                      <c:pt idx="6">
                        <c:v>5.7766207959059219</c:v>
                      </c:pt>
                    </c:numCache>
                  </c:numRef>
                </c:val>
                <c:smooth val="0"/>
                <c:extLst xmlns:c15="http://schemas.microsoft.com/office/drawing/2012/chart">
                  <c:ext xmlns:c16="http://schemas.microsoft.com/office/drawing/2014/chart" uri="{C3380CC4-5D6E-409C-BE32-E72D297353CC}">
                    <c16:uniqueId val="{00000004-0E18-4F69-BD65-85B5FC15F7A9}"/>
                  </c:ext>
                </c:extLst>
              </c15:ser>
            </c15:filteredLineSeries>
          </c:ext>
        </c:extLst>
      </c:lineChart>
      <c:catAx>
        <c:axId val="1832222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32233071"/>
        <c:crosses val="autoZero"/>
        <c:auto val="1"/>
        <c:lblAlgn val="ctr"/>
        <c:lblOffset val="100"/>
        <c:noMultiLvlLbl val="0"/>
      </c:catAx>
      <c:valAx>
        <c:axId val="183223307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83222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brunes liées</a:t>
            </a:r>
            <a:r>
              <a:rPr lang="fr-FR" baseline="0"/>
              <a:t> à l'achat de biens  et composantes (M€ constants 2023)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1653981758185065E-2"/>
          <c:y val="0.12925314176208944"/>
          <c:w val="0.9297776113444195"/>
          <c:h val="0.68008651127234965"/>
        </c:manualLayout>
      </c:layout>
      <c:lineChart>
        <c:grouping val="standard"/>
        <c:varyColors val="0"/>
        <c:ser>
          <c:idx val="0"/>
          <c:order val="0"/>
          <c:tx>
            <c:v>Véhicules légers</c:v>
          </c:tx>
          <c:spPr>
            <a:ln w="28575" cap="rnd">
              <a:solidFill>
                <a:schemeClr val="accent1"/>
              </a:solidFill>
              <a:round/>
            </a:ln>
            <a:effectLst/>
          </c:spPr>
          <c:marker>
            <c:symbol val="none"/>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Synthèse!$E$162:$Q$162</c:f>
              <c:numCache>
                <c:formatCode>General</c:formatCode>
                <c:ptCount val="13"/>
                <c:pt idx="0">
                  <c:v>219.54068915894879</c:v>
                </c:pt>
                <c:pt idx="1">
                  <c:v>215.43689567407657</c:v>
                </c:pt>
                <c:pt idx="2">
                  <c:v>209.8766106703066</c:v>
                </c:pt>
                <c:pt idx="3">
                  <c:v>219.3465232864495</c:v>
                </c:pt>
                <c:pt idx="4">
                  <c:v>248.3841152249226</c:v>
                </c:pt>
                <c:pt idx="5">
                  <c:v>282.97226485319692</c:v>
                </c:pt>
                <c:pt idx="6">
                  <c:v>306.27483786777412</c:v>
                </c:pt>
                <c:pt idx="7">
                  <c:v>293.37298452212247</c:v>
                </c:pt>
                <c:pt idx="8">
                  <c:v>297.94980805397734</c:v>
                </c:pt>
                <c:pt idx="9">
                  <c:v>166.7660893937595</c:v>
                </c:pt>
                <c:pt idx="10">
                  <c:v>164.83844351425589</c:v>
                </c:pt>
                <c:pt idx="11">
                  <c:v>139.59571663887482</c:v>
                </c:pt>
                <c:pt idx="12">
                  <c:v>131.26473492305095</c:v>
                </c:pt>
              </c:numCache>
            </c:numRef>
          </c:val>
          <c:smooth val="0"/>
          <c:extLst>
            <c:ext xmlns:c16="http://schemas.microsoft.com/office/drawing/2014/chart" uri="{C3380CC4-5D6E-409C-BE32-E72D297353CC}">
              <c16:uniqueId val="{00000000-8B0C-4085-BB4A-AABFF368838D}"/>
            </c:ext>
          </c:extLst>
        </c:ser>
        <c:ser>
          <c:idx val="1"/>
          <c:order val="1"/>
          <c:tx>
            <c:v>Bus &amp; Cars</c:v>
          </c:tx>
          <c:spPr>
            <a:ln w="28575" cap="rnd">
              <a:solidFill>
                <a:schemeClr val="accent2"/>
              </a:solidFill>
              <a:round/>
            </a:ln>
            <a:effectLst/>
          </c:spPr>
          <c:marker>
            <c:symbol val="none"/>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Synthèse!$E$164:$Q$164</c:f>
              <c:numCache>
                <c:formatCode>General</c:formatCode>
                <c:ptCount val="13"/>
                <c:pt idx="0">
                  <c:v>904.8425980981184</c:v>
                </c:pt>
                <c:pt idx="1">
                  <c:v>847.79188033292735</c:v>
                </c:pt>
                <c:pt idx="2">
                  <c:v>950.10129760654456</c:v>
                </c:pt>
                <c:pt idx="3">
                  <c:v>802.81638563841454</c:v>
                </c:pt>
                <c:pt idx="4">
                  <c:v>988.25716549773574</c:v>
                </c:pt>
                <c:pt idx="5">
                  <c:v>776.26580848107994</c:v>
                </c:pt>
                <c:pt idx="6">
                  <c:v>663.27760311178736</c:v>
                </c:pt>
                <c:pt idx="7">
                  <c:v>626.93850928679819</c:v>
                </c:pt>
                <c:pt idx="8">
                  <c:v>556.1314258412973</c:v>
                </c:pt>
                <c:pt idx="9">
                  <c:v>413.1331187167853</c:v>
                </c:pt>
                <c:pt idx="10">
                  <c:v>279.07642116081013</c:v>
                </c:pt>
                <c:pt idx="11">
                  <c:v>151.35705843111538</c:v>
                </c:pt>
                <c:pt idx="12">
                  <c:v>159.4265252994058</c:v>
                </c:pt>
              </c:numCache>
            </c:numRef>
          </c:val>
          <c:smooth val="0"/>
          <c:extLst>
            <c:ext xmlns:c16="http://schemas.microsoft.com/office/drawing/2014/chart" uri="{C3380CC4-5D6E-409C-BE32-E72D297353CC}">
              <c16:uniqueId val="{00000001-8B0C-4085-BB4A-AABFF368838D}"/>
            </c:ext>
          </c:extLst>
        </c:ser>
        <c:ser>
          <c:idx val="5"/>
          <c:order val="2"/>
          <c:tx>
            <c:v>Véhicules utilitaires légers</c:v>
          </c:tx>
          <c:spPr>
            <a:ln w="28575" cap="rnd">
              <a:solidFill>
                <a:schemeClr val="accent6"/>
              </a:solidFill>
              <a:round/>
            </a:ln>
            <a:effectLst/>
          </c:spPr>
          <c:marker>
            <c:symbol val="none"/>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Synthèse!$E$163:$Q$163</c:f>
              <c:numCache>
                <c:formatCode>General</c:formatCode>
                <c:ptCount val="13"/>
                <c:pt idx="0">
                  <c:v>215.6681642113289</c:v>
                </c:pt>
                <c:pt idx="1">
                  <c:v>191.09165572107614</c:v>
                </c:pt>
                <c:pt idx="2">
                  <c:v>180.897470463199</c:v>
                </c:pt>
                <c:pt idx="3">
                  <c:v>183.68145232155487</c:v>
                </c:pt>
                <c:pt idx="4">
                  <c:v>187.89383252445049</c:v>
                </c:pt>
                <c:pt idx="5">
                  <c:v>202.80563990613564</c:v>
                </c:pt>
                <c:pt idx="6">
                  <c:v>214.55409442843012</c:v>
                </c:pt>
                <c:pt idx="7">
                  <c:v>221.93719345909102</c:v>
                </c:pt>
                <c:pt idx="8">
                  <c:v>240.50559668704651</c:v>
                </c:pt>
                <c:pt idx="9">
                  <c:v>197.57813408116812</c:v>
                </c:pt>
                <c:pt idx="10">
                  <c:v>225.53968530745877</c:v>
                </c:pt>
                <c:pt idx="11">
                  <c:v>193.85814402420934</c:v>
                </c:pt>
                <c:pt idx="12">
                  <c:v>235.75158222621704</c:v>
                </c:pt>
              </c:numCache>
            </c:numRef>
          </c:val>
          <c:smooth val="0"/>
          <c:extLst>
            <c:ext xmlns:c16="http://schemas.microsoft.com/office/drawing/2014/chart" uri="{C3380CC4-5D6E-409C-BE32-E72D297353CC}">
              <c16:uniqueId val="{00000000-F788-4BDB-8D6A-EF22CF619FC8}"/>
            </c:ext>
          </c:extLst>
        </c:ser>
        <c:ser>
          <c:idx val="7"/>
          <c:order val="6"/>
          <c:tx>
            <c:v>Achats de chaudières fossiles</c:v>
          </c:tx>
          <c:spPr>
            <a:ln w="28575" cap="rnd">
              <a:solidFill>
                <a:schemeClr val="accent5">
                  <a:lumMod val="60000"/>
                  <a:lumOff val="40000"/>
                </a:schemeClr>
              </a:solidFill>
              <a:round/>
            </a:ln>
            <a:effectLst/>
          </c:spPr>
          <c:marker>
            <c:symbol val="none"/>
          </c:marker>
          <c:val>
            <c:numRef>
              <c:f>Synthèse!$E$159:$Q$159</c:f>
              <c:numCache>
                <c:formatCode>General</c:formatCode>
                <c:ptCount val="13"/>
                <c:pt idx="0">
                  <c:v>349.99667368956909</c:v>
                </c:pt>
                <c:pt idx="1">
                  <c:v>360.41903415298151</c:v>
                </c:pt>
                <c:pt idx="2">
                  <c:v>368.16327591792088</c:v>
                </c:pt>
                <c:pt idx="3">
                  <c:v>373.58151164369633</c:v>
                </c:pt>
                <c:pt idx="4">
                  <c:v>364.74763294913504</c:v>
                </c:pt>
                <c:pt idx="5">
                  <c:v>408.45840383944449</c:v>
                </c:pt>
                <c:pt idx="6">
                  <c:v>431.96091242965048</c:v>
                </c:pt>
                <c:pt idx="7">
                  <c:v>467.98977585810093</c:v>
                </c:pt>
                <c:pt idx="8">
                  <c:v>432.37355572354357</c:v>
                </c:pt>
                <c:pt idx="9">
                  <c:v>400.65917137400186</c:v>
                </c:pt>
                <c:pt idx="10">
                  <c:v>531.68158482614933</c:v>
                </c:pt>
                <c:pt idx="11">
                  <c:v>427.88169206254577</c:v>
                </c:pt>
                <c:pt idx="12">
                  <c:v>335.48251784312123</c:v>
                </c:pt>
              </c:numCache>
            </c:numRef>
          </c:val>
          <c:smooth val="0"/>
          <c:extLst>
            <c:ext xmlns:c16="http://schemas.microsoft.com/office/drawing/2014/chart" uri="{C3380CC4-5D6E-409C-BE32-E72D297353CC}">
              <c16:uniqueId val="{00000000-C9CA-49C0-9C95-A15A7E241F6A}"/>
            </c:ext>
          </c:extLst>
        </c:ser>
        <c:ser>
          <c:idx val="6"/>
          <c:order val="7"/>
          <c:tx>
            <c:v>Dépenses brunes liées à l'achat de biens totales</c:v>
          </c:tx>
          <c:spPr>
            <a:ln w="28575" cap="rnd">
              <a:solidFill>
                <a:schemeClr val="accent2">
                  <a:lumMod val="50000"/>
                </a:schemeClr>
              </a:solidFill>
              <a:round/>
            </a:ln>
            <a:effectLst/>
          </c:spPr>
          <c:marker>
            <c:symbol val="none"/>
          </c:marker>
          <c:val>
            <c:numRef>
              <c:f>Synthèse!$E$151:$Q$151</c:f>
              <c:numCache>
                <c:formatCode>#,##0</c:formatCode>
                <c:ptCount val="13"/>
                <c:pt idx="0">
                  <c:v>1443.3169515440493</c:v>
                </c:pt>
                <c:pt idx="1">
                  <c:v>1485.4772563797214</c:v>
                </c:pt>
                <c:pt idx="2">
                  <c:v>1638.0276446352427</c:v>
                </c:pt>
                <c:pt idx="3">
                  <c:v>1470.4038104624453</c:v>
                </c:pt>
                <c:pt idx="4">
                  <c:v>1583.9369376558334</c:v>
                </c:pt>
                <c:pt idx="5">
                  <c:v>1494.5520118362977</c:v>
                </c:pt>
                <c:pt idx="6">
                  <c:v>1447.4567863955158</c:v>
                </c:pt>
                <c:pt idx="7">
                  <c:v>1507.5986207229237</c:v>
                </c:pt>
                <c:pt idx="8">
                  <c:v>1428.7445365886481</c:v>
                </c:pt>
                <c:pt idx="9">
                  <c:v>1226.2955637508358</c:v>
                </c:pt>
                <c:pt idx="10">
                  <c:v>1219.7274168699489</c:v>
                </c:pt>
                <c:pt idx="11">
                  <c:v>971.78271308174806</c:v>
                </c:pt>
                <c:pt idx="12">
                  <c:v>861.92536029179496</c:v>
                </c:pt>
              </c:numCache>
            </c:numRef>
          </c:val>
          <c:smooth val="0"/>
          <c:extLst>
            <c:ext xmlns:c16="http://schemas.microsoft.com/office/drawing/2014/chart" uri="{C3380CC4-5D6E-409C-BE32-E72D297353CC}">
              <c16:uniqueId val="{00000001-C9CA-49C0-9C95-A15A7E241F6A}"/>
            </c:ext>
          </c:extLst>
        </c:ser>
        <c:ser>
          <c:idx val="8"/>
          <c:order val="8"/>
          <c:tx>
            <c:v>Matériel roulant ferroviaire </c:v>
          </c:tx>
          <c:spPr>
            <a:ln w="28575" cap="rnd">
              <a:solidFill>
                <a:schemeClr val="accent3">
                  <a:lumMod val="60000"/>
                </a:schemeClr>
              </a:solidFill>
              <a:round/>
            </a:ln>
            <a:effectLst/>
          </c:spPr>
          <c:marker>
            <c:symbol val="none"/>
          </c:marker>
          <c:val>
            <c:numRef>
              <c:f>Synthèse!$E$167:$Q$167</c:f>
              <c:numCache>
                <c:formatCode>General</c:formatCode>
                <c:ptCount val="13"/>
                <c:pt idx="0">
                  <c:v>0</c:v>
                </c:pt>
                <c:pt idx="1">
                  <c:v>112.51065718764039</c:v>
                </c:pt>
                <c:pt idx="2">
                  <c:v>185.80346025299082</c:v>
                </c:pt>
                <c:pt idx="3">
                  <c:v>117.73152228584152</c:v>
                </c:pt>
                <c:pt idx="4">
                  <c:v>40.848989065095509</c:v>
                </c:pt>
                <c:pt idx="5">
                  <c:v>55.609939923533368</c:v>
                </c:pt>
                <c:pt idx="6">
                  <c:v>33.837006265660719</c:v>
                </c:pt>
                <c:pt idx="7">
                  <c:v>100.172240473277</c:v>
                </c:pt>
                <c:pt idx="8">
                  <c:v>80.946247457966493</c:v>
                </c:pt>
                <c:pt idx="9">
                  <c:v>108.29658463146207</c:v>
                </c:pt>
                <c:pt idx="10">
                  <c:v>80.611320207204272</c:v>
                </c:pt>
                <c:pt idx="11">
                  <c:v>89.833707184121181</c:v>
                </c:pt>
                <c:pt idx="12">
                  <c:v>0</c:v>
                </c:pt>
              </c:numCache>
            </c:numRef>
          </c:val>
          <c:smooth val="0"/>
          <c:extLst>
            <c:ext xmlns:c16="http://schemas.microsoft.com/office/drawing/2014/chart" uri="{C3380CC4-5D6E-409C-BE32-E72D297353CC}">
              <c16:uniqueId val="{00000002-C9CA-49C0-9C95-A15A7E241F6A}"/>
            </c:ext>
          </c:extLst>
        </c:ser>
        <c:dLbls>
          <c:showLegendKey val="0"/>
          <c:showVal val="0"/>
          <c:showCatName val="0"/>
          <c:showSerName val="0"/>
          <c:showPercent val="0"/>
          <c:showBubbleSize val="0"/>
        </c:dLbls>
        <c:smooth val="0"/>
        <c:axId val="944933727"/>
        <c:axId val="944939487"/>
        <c:extLst>
          <c:ext xmlns:c15="http://schemas.microsoft.com/office/drawing/2012/chart" uri="{02D57815-91ED-43cb-92C2-25804820EDAC}">
            <c15:filteredLineSeries>
              <c15:ser>
                <c:idx val="4"/>
                <c:order val="3"/>
                <c:tx>
                  <c:strRef>
                    <c:extLst>
                      <c:ext uri="{02D57815-91ED-43cb-92C2-25804820EDAC}">
                        <c15:formulaRef>
                          <c15:sqref>Synthèse!$C$4</c15:sqref>
                        </c15:formulaRef>
                      </c:ext>
                    </c:extLst>
                    <c:strCache>
                      <c:ptCount val="1"/>
                      <c:pt idx="0">
                        <c:v>Dépenses brunes </c:v>
                      </c:pt>
                    </c:strCache>
                  </c:strRef>
                </c:tx>
                <c:spPr>
                  <a:ln w="28575" cap="rnd">
                    <a:solidFill>
                      <a:schemeClr val="accent5"/>
                    </a:solidFill>
                    <a:round/>
                  </a:ln>
                  <a:effectLst/>
                </c:spPr>
                <c:marker>
                  <c:symbol val="none"/>
                </c:marker>
                <c:cat>
                  <c:numRef>
                    <c:extLst>
                      <c:ex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uri="{02D57815-91ED-43cb-92C2-25804820EDAC}">
                        <c15:formulaRef>
                          <c15:sqref>Synthèse!$E$14:$Q$14</c15:sqref>
                        </c15:formulaRef>
                      </c:ext>
                    </c:extLst>
                    <c:numCache>
                      <c:formatCode>General</c:formatCode>
                      <c:ptCount val="13"/>
                      <c:pt idx="0">
                        <c:v>6703.2732204123695</c:v>
                      </c:pt>
                      <c:pt idx="1">
                        <c:v>7084.3849120119658</c:v>
                      </c:pt>
                      <c:pt idx="2">
                        <c:v>7609.2150409332298</c:v>
                      </c:pt>
                      <c:pt idx="3">
                        <c:v>6872.7865270730645</c:v>
                      </c:pt>
                      <c:pt idx="4">
                        <c:v>6518.0286542285266</c:v>
                      </c:pt>
                      <c:pt idx="5">
                        <c:v>6251.9813408728696</c:v>
                      </c:pt>
                      <c:pt idx="6">
                        <c:v>6480.5610023278186</c:v>
                      </c:pt>
                      <c:pt idx="7">
                        <c:v>6973.3501845551436</c:v>
                      </c:pt>
                      <c:pt idx="8">
                        <c:v>7356.4068270627058</c:v>
                      </c:pt>
                      <c:pt idx="9">
                        <c:v>6345.255908555413</c:v>
                      </c:pt>
                      <c:pt idx="10">
                        <c:v>6790.5243644145994</c:v>
                      </c:pt>
                      <c:pt idx="11">
                        <c:v>7386.7998314549304</c:v>
                      </c:pt>
                      <c:pt idx="12">
                        <c:v>8003.6628490142375</c:v>
                      </c:pt>
                    </c:numCache>
                  </c:numRef>
                </c:val>
                <c:smooth val="0"/>
                <c:extLst>
                  <c:ext xmlns:c16="http://schemas.microsoft.com/office/drawing/2014/chart" uri="{C3380CC4-5D6E-409C-BE32-E72D297353CC}">
                    <c16:uniqueId val="{00000004-8B0C-4085-BB4A-AABFF368838D}"/>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7E350E"/>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0-59EB-4528-A879-C5FF729F43C0}"/>
                  </c:ext>
                </c:extLst>
              </c15:ser>
            </c15:filteredLineSeries>
            <c15:filteredLineSeries>
              <c15:ser>
                <c:idx val="3"/>
                <c:order val="5"/>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196B24"/>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1-59EB-4528-A879-C5FF729F43C0}"/>
                  </c:ext>
                </c:extLst>
              </c15:ser>
            </c15:filteredLineSeries>
          </c:ext>
        </c:extLst>
      </c:lineChart>
      <c:catAx>
        <c:axId val="94493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9487"/>
        <c:crosses val="autoZero"/>
        <c:auto val="1"/>
        <c:lblAlgn val="ctr"/>
        <c:lblOffset val="100"/>
        <c:noMultiLvlLbl val="0"/>
      </c:catAx>
      <c:valAx>
        <c:axId val="944939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brunes v/ dépenses</a:t>
            </a:r>
            <a:r>
              <a:rPr lang="fr-FR" baseline="0"/>
              <a:t> totales</a:t>
            </a:r>
          </a:p>
          <a:p>
            <a:pPr>
              <a:defRPr/>
            </a:pPr>
            <a:r>
              <a:rPr lang="fr-FR"/>
              <a:t> (M€)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6527542877771735E-2"/>
          <c:y val="0.1016920813081814"/>
          <c:w val="0.94044754962051558"/>
          <c:h val="0.82184609834886513"/>
        </c:manualLayout>
      </c:layout>
      <c:lineChart>
        <c:grouping val="standard"/>
        <c:varyColors val="0"/>
        <c:ser>
          <c:idx val="0"/>
          <c:order val="0"/>
          <c:spPr>
            <a:ln w="28575" cap="rnd">
              <a:solidFill>
                <a:srgbClr val="7E350E"/>
              </a:solidFill>
              <a:prstDash val="solid"/>
              <a:round/>
            </a:ln>
            <a:effectLst/>
          </c:spPr>
          <c:marker>
            <c:symbol val="circle"/>
            <c:size val="5"/>
            <c:spPr>
              <a:solidFill>
                <a:srgbClr val="7E350E"/>
              </a:solidFill>
              <a:ln w="9525">
                <a:solidFill>
                  <a:srgbClr val="7E350E"/>
                </a:solidFill>
                <a:prstDash val="solid"/>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Synthèse!$E$14:$Q$14</c:f>
              <c:numCache>
                <c:formatCode>General</c:formatCode>
                <c:ptCount val="13"/>
                <c:pt idx="0">
                  <c:v>6703.2732204123695</c:v>
                </c:pt>
                <c:pt idx="1">
                  <c:v>7084.3849120119658</c:v>
                </c:pt>
                <c:pt idx="2">
                  <c:v>7609.2150409332298</c:v>
                </c:pt>
                <c:pt idx="3">
                  <c:v>6872.7865270730645</c:v>
                </c:pt>
                <c:pt idx="4">
                  <c:v>6518.0286542285266</c:v>
                </c:pt>
                <c:pt idx="5">
                  <c:v>6251.9813408728696</c:v>
                </c:pt>
                <c:pt idx="6">
                  <c:v>6480.5610023278186</c:v>
                </c:pt>
                <c:pt idx="7">
                  <c:v>6973.3501845551436</c:v>
                </c:pt>
                <c:pt idx="8">
                  <c:v>7356.4068270627058</c:v>
                </c:pt>
                <c:pt idx="9">
                  <c:v>6345.255908555413</c:v>
                </c:pt>
                <c:pt idx="10">
                  <c:v>6790.5243644145994</c:v>
                </c:pt>
                <c:pt idx="11">
                  <c:v>7386.7998314549304</c:v>
                </c:pt>
                <c:pt idx="12">
                  <c:v>8003.6628490142375</c:v>
                </c:pt>
              </c:numCache>
            </c:numRef>
          </c:val>
          <c:smooth val="0"/>
          <c:extLst>
            <c:ext xmlns:c16="http://schemas.microsoft.com/office/drawing/2014/chart" uri="{C3380CC4-5D6E-409C-BE32-E72D297353CC}">
              <c16:uniqueId val="{00000000-C406-4F3F-B268-EA1B4A875796}"/>
            </c:ext>
          </c:extLst>
        </c:ser>
        <c:ser>
          <c:idx val="1"/>
          <c:order val="1"/>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Synthèse!$E$36:$Q$36</c:f>
              <c:numCache>
                <c:formatCode>#,##0</c:formatCode>
                <c:ptCount val="13"/>
                <c:pt idx="0">
                  <c:v>30331.668814430061</c:v>
                </c:pt>
                <c:pt idx="1">
                  <c:v>31860.796314218755</c:v>
                </c:pt>
                <c:pt idx="2">
                  <c:v>34537.237320352593</c:v>
                </c:pt>
                <c:pt idx="3">
                  <c:v>31257.486407933473</c:v>
                </c:pt>
                <c:pt idx="4">
                  <c:v>29072.044073395384</c:v>
                </c:pt>
                <c:pt idx="5">
                  <c:v>28284.586497368968</c:v>
                </c:pt>
                <c:pt idx="6">
                  <c:v>29806.744647522228</c:v>
                </c:pt>
                <c:pt idx="7">
                  <c:v>32276.116076797407</c:v>
                </c:pt>
                <c:pt idx="8">
                  <c:v>35830.594383856267</c:v>
                </c:pt>
                <c:pt idx="9">
                  <c:v>31730.38193173043</c:v>
                </c:pt>
                <c:pt idx="10">
                  <c:v>35435.557103057443</c:v>
                </c:pt>
                <c:pt idx="11">
                  <c:v>38594.360132766247</c:v>
                </c:pt>
                <c:pt idx="12">
                  <c:v>42476.246350935151</c:v>
                </c:pt>
              </c:numCache>
            </c:numRef>
          </c:val>
          <c:smooth val="0"/>
          <c:extLst>
            <c:ext xmlns:c16="http://schemas.microsoft.com/office/drawing/2014/chart" uri="{C3380CC4-5D6E-409C-BE32-E72D297353CC}">
              <c16:uniqueId val="{00000001-C406-4F3F-B268-EA1B4A875796}"/>
            </c:ext>
          </c:extLst>
        </c:ser>
        <c:ser>
          <c:idx val="7"/>
          <c:order val="7"/>
          <c:tx>
            <c:v>DV</c:v>
          </c:tx>
          <c:spPr>
            <a:ln w="28575" cap="rnd">
              <a:solidFill>
                <a:srgbClr val="196B24"/>
              </a:solidFill>
              <a:prstDash val="solid"/>
              <a:round/>
            </a:ln>
            <a:effectLst/>
          </c:spPr>
          <c:marker>
            <c:symbol val="circle"/>
            <c:size val="5"/>
            <c:spPr>
              <a:solidFill>
                <a:srgbClr val="196B24"/>
              </a:solidFill>
              <a:ln w="9525">
                <a:solidFill>
                  <a:srgbClr val="196B24"/>
                </a:solidFill>
                <a:prstDash val="solid"/>
              </a:ln>
              <a:effectLst/>
            </c:spPr>
          </c:marker>
          <c:val>
            <c:numRef>
              <c:f>Synthèse!$E$201:$Q$201</c:f>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c:ext xmlns:c16="http://schemas.microsoft.com/office/drawing/2014/chart" uri="{C3380CC4-5D6E-409C-BE32-E72D297353CC}">
              <c16:uniqueId val="{00000003-B120-46E1-AAA4-06DEACEBA278}"/>
            </c:ext>
          </c:extLst>
        </c:ser>
        <c:dLbls>
          <c:showLegendKey val="0"/>
          <c:showVal val="0"/>
          <c:showCatName val="0"/>
          <c:showSerName val="0"/>
          <c:showPercent val="0"/>
          <c:showBubbleSize val="0"/>
        </c:dLbls>
        <c:marker val="1"/>
        <c:smooth val="0"/>
        <c:axId val="944933727"/>
        <c:axId val="944939487"/>
        <c:extLst>
          <c:ext xmlns:c15="http://schemas.microsoft.com/office/drawing/2012/chart" uri="{02D57815-91ED-43cb-92C2-25804820EDAC}">
            <c15:filteredLineSeries>
              <c15:ser>
                <c:idx val="2"/>
                <c:order val="2"/>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extLst>
                      <c:ex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uri="{02D57815-91ED-43cb-92C2-25804820EDAC}">
                        <c15:formulaRef>
                          <c15:sqref>Synthèse!$C$14</c15:sqref>
                        </c15:formulaRef>
                      </c:ext>
                    </c:extLst>
                    <c:numCache>
                      <c:formatCode>General</c:formatCode>
                      <c:ptCount val="1"/>
                      <c:pt idx="0">
                        <c:v>0</c:v>
                      </c:pt>
                    </c:numCache>
                  </c:numRef>
                </c:val>
                <c:smooth val="0"/>
                <c:extLst>
                  <c:ext xmlns:c16="http://schemas.microsoft.com/office/drawing/2014/chart" uri="{C3380CC4-5D6E-409C-BE32-E72D297353CC}">
                    <c16:uniqueId val="{00000002-C406-4F3F-B268-EA1B4A875796}"/>
                  </c:ext>
                </c:extLst>
              </c15:ser>
            </c15:filteredLineSeries>
            <c15:filteredLineSeries>
              <c15:ser>
                <c:idx val="3"/>
                <c:order val="3"/>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Synthèse!$C$20</c15:sqref>
                        </c15:formulaRef>
                      </c:ext>
                    </c:extLst>
                    <c:numCache>
                      <c:formatCode>General</c:formatCode>
                      <c:ptCount val="1"/>
                      <c:pt idx="0">
                        <c:v>0</c:v>
                      </c:pt>
                    </c:numCache>
                  </c:numRef>
                </c:val>
                <c:smooth val="0"/>
                <c:extLst xmlns:c15="http://schemas.microsoft.com/office/drawing/2012/chart">
                  <c:ext xmlns:c16="http://schemas.microsoft.com/office/drawing/2014/chart" uri="{C3380CC4-5D6E-409C-BE32-E72D297353CC}">
                    <c16:uniqueId val="{00000003-C406-4F3F-B268-EA1B4A875796}"/>
                  </c:ext>
                </c:extLst>
              </c15:ser>
            </c15:filteredLineSeries>
            <c15:filteredLineSeries>
              <c15:ser>
                <c:idx val="4"/>
                <c:order val="4"/>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Synthèse!$M$4:$Q$4</c15:sqref>
                        </c15:formulaRef>
                      </c:ext>
                    </c:extLst>
                    <c:numCache>
                      <c:formatCode>General</c:formatCode>
                      <c:ptCount val="5"/>
                      <c:pt idx="0">
                        <c:v>2019</c:v>
                      </c:pt>
                      <c:pt idx="1">
                        <c:v>2020</c:v>
                      </c:pt>
                      <c:pt idx="2">
                        <c:v>2021</c:v>
                      </c:pt>
                      <c:pt idx="3">
                        <c:v>2022</c:v>
                      </c:pt>
                      <c:pt idx="4">
                        <c:v>2023</c:v>
                      </c:pt>
                    </c:numCache>
                  </c:numRef>
                </c:val>
                <c:smooth val="0"/>
                <c:extLst xmlns:c15="http://schemas.microsoft.com/office/drawing/2012/chart">
                  <c:ext xmlns:c16="http://schemas.microsoft.com/office/drawing/2014/chart" uri="{C3380CC4-5D6E-409C-BE32-E72D297353CC}">
                    <c16:uniqueId val="{00000004-C406-4F3F-B268-EA1B4A875796}"/>
                  </c:ext>
                </c:extLst>
              </c15:ser>
            </c15:filteredLineSeries>
            <c15:filteredLineSeries>
              <c15:ser>
                <c:idx val="5"/>
                <c:order val="5"/>
                <c:tx>
                  <c:v>DTDéflatés</c:v>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extLst xmlns:c15="http://schemas.microsoft.com/office/drawing/2012/chart">
                      <c:ext xmlns:c15="http://schemas.microsoft.com/office/drawing/2012/chart" uri="{02D57815-91ED-43cb-92C2-25804820EDAC}">
                        <c15:formulaRef>
                          <c15:sqref>Synthèse!$E$175:$Q$175</c15:sqref>
                        </c15:formulaRef>
                      </c:ext>
                    </c:extLst>
                    <c:numCache>
                      <c:formatCode>General</c:formatCode>
                      <c:ptCount val="13"/>
                      <c:pt idx="0">
                        <c:v>35516.78649509394</c:v>
                      </c:pt>
                      <c:pt idx="1">
                        <c:v>37046.386350552028</c:v>
                      </c:pt>
                      <c:pt idx="2">
                        <c:v>39952.080187176281</c:v>
                      </c:pt>
                      <c:pt idx="3">
                        <c:v>36077.758935589438</c:v>
                      </c:pt>
                      <c:pt idx="4">
                        <c:v>33590.775745390223</c:v>
                      </c:pt>
                      <c:pt idx="5">
                        <c:v>32666.88973940608</c:v>
                      </c:pt>
                      <c:pt idx="6">
                        <c:v>33975.646954360134</c:v>
                      </c:pt>
                      <c:pt idx="7">
                        <c:v>36618.111511602823</c:v>
                      </c:pt>
                      <c:pt idx="8">
                        <c:v>40323.689033353614</c:v>
                      </c:pt>
                      <c:pt idx="9">
                        <c:v>33286.439861662489</c:v>
                      </c:pt>
                      <c:pt idx="10">
                        <c:v>37237.365091348496</c:v>
                      </c:pt>
                      <c:pt idx="11">
                        <c:v>39815.342721957677</c:v>
                      </c:pt>
                      <c:pt idx="12">
                        <c:v>42476.246350935151</c:v>
                      </c:pt>
                    </c:numCache>
                  </c:numRef>
                </c:val>
                <c:smooth val="0"/>
                <c:extLst xmlns:c15="http://schemas.microsoft.com/office/drawing/2012/chart">
                  <c:ext xmlns:c16="http://schemas.microsoft.com/office/drawing/2014/chart" uri="{C3380CC4-5D6E-409C-BE32-E72D297353CC}">
                    <c16:uniqueId val="{00000000-B120-46E1-AAA4-06DEACEBA278}"/>
                  </c:ext>
                </c:extLst>
              </c15:ser>
            </c15:filteredLineSeries>
            <c15:filteredLineSeries>
              <c15:ser>
                <c:idx val="6"/>
                <c:order val="6"/>
                <c:tx>
                  <c:v>DB+Déflatés</c:v>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extLst xmlns:c15="http://schemas.microsoft.com/office/drawing/2012/chart">
                      <c:ext xmlns:c15="http://schemas.microsoft.com/office/drawing/2012/chart" uri="{02D57815-91ED-43cb-92C2-25804820EDAC}">
                        <c15:formulaRef>
                          <c15:sqref>Synthèse!$E$154:$Q$154</c15:sqref>
                        </c15:formulaRef>
                      </c:ext>
                    </c:extLst>
                    <c:numCache>
                      <c:formatCode>General</c:formatCode>
                      <c:ptCount val="13"/>
                      <c:pt idx="0">
                        <c:v>7849.1798537112727</c:v>
                      </c:pt>
                      <c:pt idx="1">
                        <c:v>8237.4231302339085</c:v>
                      </c:pt>
                      <c:pt idx="2">
                        <c:v>8802.2086612493604</c:v>
                      </c:pt>
                      <c:pt idx="3">
                        <c:v>7932.6511512638926</c:v>
                      </c:pt>
                      <c:pt idx="4">
                        <c:v>7531.1401659087724</c:v>
                      </c:pt>
                      <c:pt idx="5">
                        <c:v>7220.638885214601</c:v>
                      </c:pt>
                      <c:pt idx="6">
                        <c:v>7386.9607461339256</c:v>
                      </c:pt>
                      <c:pt idx="7">
                        <c:v>7911.4511194567967</c:v>
                      </c:pt>
                      <c:pt idx="8">
                        <c:v>8278.887537265311</c:v>
                      </c:pt>
                      <c:pt idx="9">
                        <c:v>6656.4272583109705</c:v>
                      </c:pt>
                      <c:pt idx="10">
                        <c:v>7135.8052643000865</c:v>
                      </c:pt>
                      <c:pt idx="11">
                        <c:v>7620.4908151381005</c:v>
                      </c:pt>
                      <c:pt idx="12">
                        <c:v>8003.6628490142375</c:v>
                      </c:pt>
                    </c:numCache>
                  </c:numRef>
                </c:val>
                <c:smooth val="0"/>
                <c:extLst xmlns:c15="http://schemas.microsoft.com/office/drawing/2012/chart">
                  <c:ext xmlns:c16="http://schemas.microsoft.com/office/drawing/2014/chart" uri="{C3380CC4-5D6E-409C-BE32-E72D297353CC}">
                    <c16:uniqueId val="{00000001-B120-46E1-AAA4-06DEACEBA278}"/>
                  </c:ext>
                </c:extLst>
              </c15:ser>
            </c15:filteredLineSeries>
          </c:ext>
        </c:extLst>
      </c:lineChart>
      <c:catAx>
        <c:axId val="94493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9487"/>
        <c:crosses val="autoZero"/>
        <c:auto val="1"/>
        <c:lblAlgn val="ctr"/>
        <c:lblOffset val="100"/>
        <c:noMultiLvlLbl val="0"/>
      </c:catAx>
      <c:valAx>
        <c:axId val="944939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brunes</a:t>
            </a:r>
            <a:r>
              <a:rPr lang="fr-FR" baseline="0"/>
              <a:t> et composantes (M€ constants 2023)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1653981758185065E-2"/>
          <c:y val="0.12925314176208944"/>
          <c:w val="0.9297776113444195"/>
          <c:h val="0.68008651127234965"/>
        </c:manualLayout>
      </c:layout>
      <c:lineChart>
        <c:grouping val="standard"/>
        <c:varyColors val="0"/>
        <c:ser>
          <c:idx val="0"/>
          <c:order val="0"/>
          <c:tx>
            <c:v>Dépenses d'aménagement du territoire </c:v>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Synthèse!$E$157:$Q$157</c:f>
              <c:numCache>
                <c:formatCode>General</c:formatCode>
                <c:ptCount val="13"/>
                <c:pt idx="0">
                  <c:v>4226.7477119888999</c:v>
                </c:pt>
                <c:pt idx="1">
                  <c:v>4417.969610533969</c:v>
                </c:pt>
                <c:pt idx="2">
                  <c:v>4712.3885765495788</c:v>
                </c:pt>
                <c:pt idx="3">
                  <c:v>4189.8219214049823</c:v>
                </c:pt>
                <c:pt idx="4">
                  <c:v>3719.4955894763661</c:v>
                </c:pt>
                <c:pt idx="5">
                  <c:v>3620.5899123488125</c:v>
                </c:pt>
                <c:pt idx="6">
                  <c:v>3803.212899075244</c:v>
                </c:pt>
                <c:pt idx="7">
                  <c:v>4135.1655317728864</c:v>
                </c:pt>
                <c:pt idx="8">
                  <c:v>4606.0335585185931</c:v>
                </c:pt>
                <c:pt idx="9">
                  <c:v>3638.8793906532401</c:v>
                </c:pt>
                <c:pt idx="10">
                  <c:v>3946.9396389649537</c:v>
                </c:pt>
                <c:pt idx="11">
                  <c:v>4256.8576593047674</c:v>
                </c:pt>
                <c:pt idx="12">
                  <c:v>4458.4090090470563</c:v>
                </c:pt>
              </c:numCache>
            </c:numRef>
          </c:val>
          <c:smooth val="0"/>
          <c:extLst>
            <c:ext xmlns:c16="http://schemas.microsoft.com/office/drawing/2014/chart" uri="{C3380CC4-5D6E-409C-BE32-E72D297353CC}">
              <c16:uniqueId val="{00000000-A3F6-4DF3-92A4-69B5DE84BC93}"/>
            </c:ext>
          </c:extLst>
        </c:ser>
        <c:ser>
          <c:idx val="1"/>
          <c:order val="1"/>
          <c:tx>
            <c:v>Dépenses d'achats de biens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Synthèse!$E$156:$Q$156</c:f>
              <c:numCache>
                <c:formatCode>General</c:formatCode>
                <c:ptCount val="13"/>
                <c:pt idx="0">
                  <c:v>1690.0481251579652</c:v>
                </c:pt>
                <c:pt idx="1">
                  <c:v>1727.2501230687021</c:v>
                </c:pt>
                <c:pt idx="2">
                  <c:v>1894.842114910962</c:v>
                </c:pt>
                <c:pt idx="3">
                  <c:v>1697.1573951759567</c:v>
                </c:pt>
                <c:pt idx="4">
                  <c:v>1830.1317352613394</c:v>
                </c:pt>
                <c:pt idx="5">
                  <c:v>1726.1120570033904</c:v>
                </c:pt>
                <c:pt idx="6">
                  <c:v>1649.9044541033029</c:v>
                </c:pt>
                <c:pt idx="7">
                  <c:v>1710.4107035993898</c:v>
                </c:pt>
                <c:pt idx="8">
                  <c:v>1607.9066337638312</c:v>
                </c:pt>
                <c:pt idx="9">
                  <c:v>1286.4330981971766</c:v>
                </c:pt>
                <c:pt idx="10">
                  <c:v>1281.7474550158784</c:v>
                </c:pt>
                <c:pt idx="11">
                  <c:v>1002.5263183408666</c:v>
                </c:pt>
                <c:pt idx="12">
                  <c:v>861.92536029179496</c:v>
                </c:pt>
              </c:numCache>
            </c:numRef>
          </c:val>
          <c:smooth val="0"/>
          <c:extLst>
            <c:ext xmlns:c16="http://schemas.microsoft.com/office/drawing/2014/chart" uri="{C3380CC4-5D6E-409C-BE32-E72D297353CC}">
              <c16:uniqueId val="{00000001-A3F6-4DF3-92A4-69B5DE84BC93}"/>
            </c:ext>
          </c:extLst>
        </c:ser>
        <c:ser>
          <c:idx val="5"/>
          <c:order val="2"/>
          <c:tx>
            <c:v>Dépenses énergétiques</c:v>
          </c:tx>
          <c:spPr>
            <a:ln w="28575" cap="rnd">
              <a:solidFill>
                <a:srgbClr val="7030A0"/>
              </a:solidFill>
              <a:round/>
            </a:ln>
            <a:effectLst/>
          </c:spPr>
          <c:marker>
            <c:symbol val="circle"/>
            <c:size val="5"/>
            <c:spPr>
              <a:solidFill>
                <a:schemeClr val="accent5">
                  <a:lumMod val="75000"/>
                </a:schemeClr>
              </a:solidFill>
              <a:ln w="9525">
                <a:solidFill>
                  <a:srgbClr val="7030A0"/>
                </a:solidFill>
                <a:prstDash val="solid"/>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Synthèse!$E$153:$Q$153</c:f>
              <c:numCache>
                <c:formatCode>#,##0</c:formatCode>
                <c:ptCount val="13"/>
                <c:pt idx="0">
                  <c:v>1650.2740759169224</c:v>
                </c:pt>
                <c:pt idx="1">
                  <c:v>1799.345977694562</c:v>
                </c:pt>
                <c:pt idx="2">
                  <c:v>1897.485054604866</c:v>
                </c:pt>
                <c:pt idx="3">
                  <c:v>1772.3539780243295</c:v>
                </c:pt>
                <c:pt idx="4">
                  <c:v>1714.9538041981577</c:v>
                </c:pt>
                <c:pt idx="5">
                  <c:v>1622.5459849452591</c:v>
                </c:pt>
                <c:pt idx="6">
                  <c:v>1696.5556617523578</c:v>
                </c:pt>
                <c:pt idx="7">
                  <c:v>1820.9136082215659</c:v>
                </c:pt>
                <c:pt idx="8">
                  <c:v>1834.8591737453269</c:v>
                </c:pt>
                <c:pt idx="9">
                  <c:v>1650.1894774847046</c:v>
                </c:pt>
                <c:pt idx="10">
                  <c:v>1814.8382588521936</c:v>
                </c:pt>
                <c:pt idx="11">
                  <c:v>2288.7008215520523</c:v>
                </c:pt>
                <c:pt idx="12">
                  <c:v>2683.3284796753874</c:v>
                </c:pt>
              </c:numCache>
            </c:numRef>
          </c:val>
          <c:smooth val="0"/>
          <c:extLst>
            <c:ext xmlns:c16="http://schemas.microsoft.com/office/drawing/2014/chart" uri="{C3380CC4-5D6E-409C-BE32-E72D297353CC}">
              <c16:uniqueId val="{00000002-A3F6-4DF3-92A4-69B5DE84BC93}"/>
            </c:ext>
          </c:extLst>
        </c:ser>
        <c:ser>
          <c:idx val="6"/>
          <c:order val="6"/>
          <c:tx>
            <c:v>Dépenses brunes totales</c:v>
          </c:tx>
          <c:spPr>
            <a:ln w="28575" cap="rnd">
              <a:solidFill>
                <a:schemeClr val="accent2">
                  <a:lumMod val="50000"/>
                </a:schemeClr>
              </a:solidFill>
              <a:round/>
            </a:ln>
            <a:effectLst/>
          </c:spPr>
          <c:marker>
            <c:symbol val="circle"/>
            <c:size val="5"/>
            <c:spPr>
              <a:solidFill>
                <a:srgbClr val="7E350E"/>
              </a:solidFill>
              <a:ln w="9525">
                <a:solidFill>
                  <a:schemeClr val="accent2">
                    <a:lumMod val="50000"/>
                  </a:schemeClr>
                </a:solidFill>
                <a:prstDash val="solid"/>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Synthèse!$E$154:$Q$154</c:f>
              <c:numCache>
                <c:formatCode>General</c:formatCode>
                <c:ptCount val="13"/>
                <c:pt idx="0">
                  <c:v>7849.1798537112727</c:v>
                </c:pt>
                <c:pt idx="1">
                  <c:v>8237.4231302339085</c:v>
                </c:pt>
                <c:pt idx="2">
                  <c:v>8802.2086612493604</c:v>
                </c:pt>
                <c:pt idx="3">
                  <c:v>7932.6511512638926</c:v>
                </c:pt>
                <c:pt idx="4">
                  <c:v>7531.1401659087724</c:v>
                </c:pt>
                <c:pt idx="5">
                  <c:v>7220.638885214601</c:v>
                </c:pt>
                <c:pt idx="6">
                  <c:v>7386.9607461339256</c:v>
                </c:pt>
                <c:pt idx="7">
                  <c:v>7911.4511194567967</c:v>
                </c:pt>
                <c:pt idx="8">
                  <c:v>8278.887537265311</c:v>
                </c:pt>
                <c:pt idx="9">
                  <c:v>6656.4272583109705</c:v>
                </c:pt>
                <c:pt idx="10">
                  <c:v>7135.8052643000865</c:v>
                </c:pt>
                <c:pt idx="11">
                  <c:v>7620.4908151381005</c:v>
                </c:pt>
                <c:pt idx="12">
                  <c:v>8003.6628490142375</c:v>
                </c:pt>
              </c:numCache>
            </c:numRef>
          </c:val>
          <c:smooth val="0"/>
          <c:extLst>
            <c:ext xmlns:c16="http://schemas.microsoft.com/office/drawing/2014/chart" uri="{C3380CC4-5D6E-409C-BE32-E72D297353CC}">
              <c16:uniqueId val="{00000003-A3F6-4DF3-92A4-69B5DE84BC93}"/>
            </c:ext>
          </c:extLst>
        </c:ser>
        <c:dLbls>
          <c:showLegendKey val="0"/>
          <c:showVal val="0"/>
          <c:showCatName val="0"/>
          <c:showSerName val="0"/>
          <c:showPercent val="0"/>
          <c:showBubbleSize val="0"/>
        </c:dLbls>
        <c:marker val="1"/>
        <c:smooth val="0"/>
        <c:axId val="944933727"/>
        <c:axId val="944939487"/>
        <c:extLst>
          <c:ext xmlns:c15="http://schemas.microsoft.com/office/drawing/2012/chart" uri="{02D57815-91ED-43cb-92C2-25804820EDAC}">
            <c15:filteredLineSeries>
              <c15:ser>
                <c:idx val="4"/>
                <c:order val="3"/>
                <c:tx>
                  <c:strRef>
                    <c:extLst>
                      <c:ext uri="{02D57815-91ED-43cb-92C2-25804820EDAC}">
                        <c15:formulaRef>
                          <c15:sqref>Synthèse!$C$4</c15:sqref>
                        </c15:formulaRef>
                      </c:ext>
                    </c:extLst>
                    <c:strCache>
                      <c:ptCount val="1"/>
                      <c:pt idx="0">
                        <c:v>Dépenses brunes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c:ex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uri="{02D57815-91ED-43cb-92C2-25804820EDAC}">
                        <c15:formulaRef>
                          <c15:sqref>Synthèse!$E$14:$Q$14</c15:sqref>
                        </c15:formulaRef>
                      </c:ext>
                    </c:extLst>
                    <c:numCache>
                      <c:formatCode>General</c:formatCode>
                      <c:ptCount val="13"/>
                      <c:pt idx="0">
                        <c:v>6703.2732204123695</c:v>
                      </c:pt>
                      <c:pt idx="1">
                        <c:v>7084.3849120119658</c:v>
                      </c:pt>
                      <c:pt idx="2">
                        <c:v>7609.2150409332298</c:v>
                      </c:pt>
                      <c:pt idx="3">
                        <c:v>6872.7865270730645</c:v>
                      </c:pt>
                      <c:pt idx="4">
                        <c:v>6518.0286542285266</c:v>
                      </c:pt>
                      <c:pt idx="5">
                        <c:v>6251.9813408728696</c:v>
                      </c:pt>
                      <c:pt idx="6">
                        <c:v>6480.5610023278186</c:v>
                      </c:pt>
                      <c:pt idx="7">
                        <c:v>6973.3501845551436</c:v>
                      </c:pt>
                      <c:pt idx="8">
                        <c:v>7356.4068270627058</c:v>
                      </c:pt>
                      <c:pt idx="9">
                        <c:v>6345.255908555413</c:v>
                      </c:pt>
                      <c:pt idx="10">
                        <c:v>6790.5243644145994</c:v>
                      </c:pt>
                      <c:pt idx="11">
                        <c:v>7386.7998314549304</c:v>
                      </c:pt>
                      <c:pt idx="12">
                        <c:v>8003.6628490142375</c:v>
                      </c:pt>
                    </c:numCache>
                  </c:numRef>
                </c:val>
                <c:smooth val="0"/>
                <c:extLst>
                  <c:ext xmlns:c16="http://schemas.microsoft.com/office/drawing/2014/chart" uri="{C3380CC4-5D6E-409C-BE32-E72D297353CC}">
                    <c16:uniqueId val="{00000004-A3F6-4DF3-92A4-69B5DE84BC93}"/>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7E350E"/>
                    </a:solidFill>
                    <a:prstDash val="solid"/>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5-A3F6-4DF3-92A4-69B5DE84BC93}"/>
                  </c:ext>
                </c:extLst>
              </c15:ser>
            </c15:filteredLineSeries>
            <c15:filteredLineSeries>
              <c15:ser>
                <c:idx val="3"/>
                <c:order val="5"/>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196B24"/>
                    </a:solidFill>
                    <a:prstDash val="solid"/>
                    <a:round/>
                  </a:ln>
                  <a:effectLst/>
                </c:spPr>
                <c:marker>
                  <c:symbol val="circle"/>
                  <c:size val="5"/>
                  <c:spPr>
                    <a:solidFill>
                      <a:srgbClr val="196B24"/>
                    </a:solidFill>
                    <a:ln w="9525">
                      <a:solidFill>
                        <a:srgbClr val="196B24"/>
                      </a:solidFill>
                      <a:prstDash val="solid"/>
                    </a:ln>
                    <a:effectLst/>
                  </c:spPr>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6-A3F6-4DF3-92A4-69B5DE84BC93}"/>
                  </c:ext>
                </c:extLst>
              </c15:ser>
            </c15:filteredLineSeries>
          </c:ext>
        </c:extLst>
      </c:lineChart>
      <c:catAx>
        <c:axId val="94493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9487"/>
        <c:crosses val="autoZero"/>
        <c:auto val="1"/>
        <c:lblAlgn val="ctr"/>
        <c:lblOffset val="100"/>
        <c:noMultiLvlLbl val="0"/>
      </c:catAx>
      <c:valAx>
        <c:axId val="944939487"/>
        <c:scaling>
          <c:orientation val="minMax"/>
          <c:max val="90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94493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brunes</a:t>
            </a:r>
            <a:r>
              <a:rPr lang="fr-FR" baseline="0"/>
              <a:t> aménagement du territoire et composantes (M€ constants 2023)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1653981758185065E-2"/>
          <c:y val="0.12925314176208944"/>
          <c:w val="0.9297776113444195"/>
          <c:h val="0.68008651127234965"/>
        </c:manualLayout>
      </c:layout>
      <c:lineChart>
        <c:grouping val="standard"/>
        <c:varyColors val="0"/>
        <c:ser>
          <c:idx val="6"/>
          <c:order val="7"/>
          <c:tx>
            <c:v>Dépenses brunes aménagement du territoire totales</c:v>
          </c:tx>
          <c:spPr>
            <a:ln w="28575" cap="rnd">
              <a:solidFill>
                <a:schemeClr val="accent1">
                  <a:lumMod val="60000"/>
                </a:schemeClr>
              </a:solidFill>
              <a:round/>
            </a:ln>
            <a:effectLst/>
          </c:spPr>
          <c:marker>
            <c:symbol val="none"/>
          </c:marker>
          <c:cat>
            <c:numRef>
              <c:f>Synthèse!$E$26:$Q$26</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Synthèse!$E$157:$Q$157</c:f>
              <c:numCache>
                <c:formatCode>General</c:formatCode>
                <c:ptCount val="13"/>
                <c:pt idx="0">
                  <c:v>4226.7477119888999</c:v>
                </c:pt>
                <c:pt idx="1">
                  <c:v>4417.969610533969</c:v>
                </c:pt>
                <c:pt idx="2">
                  <c:v>4712.3885765495788</c:v>
                </c:pt>
                <c:pt idx="3">
                  <c:v>4189.8219214049823</c:v>
                </c:pt>
                <c:pt idx="4">
                  <c:v>3719.4955894763661</c:v>
                </c:pt>
                <c:pt idx="5">
                  <c:v>3620.5899123488125</c:v>
                </c:pt>
                <c:pt idx="6">
                  <c:v>3803.212899075244</c:v>
                </c:pt>
                <c:pt idx="7">
                  <c:v>4135.1655317728864</c:v>
                </c:pt>
                <c:pt idx="8">
                  <c:v>4606.0335585185931</c:v>
                </c:pt>
                <c:pt idx="9">
                  <c:v>3638.8793906532401</c:v>
                </c:pt>
                <c:pt idx="10">
                  <c:v>3946.9396389649537</c:v>
                </c:pt>
                <c:pt idx="11">
                  <c:v>4256.8576593047674</c:v>
                </c:pt>
                <c:pt idx="12">
                  <c:v>4458.4090090470563</c:v>
                </c:pt>
              </c:numCache>
            </c:numRef>
          </c:val>
          <c:smooth val="0"/>
          <c:extLst>
            <c:ext xmlns:c16="http://schemas.microsoft.com/office/drawing/2014/chart" uri="{C3380CC4-5D6E-409C-BE32-E72D297353CC}">
              <c16:uniqueId val="{00000004-3914-449F-A7C3-DDDFC9E5039B}"/>
            </c:ext>
          </c:extLst>
        </c:ser>
        <c:dLbls>
          <c:showLegendKey val="0"/>
          <c:showVal val="0"/>
          <c:showCatName val="0"/>
          <c:showSerName val="0"/>
          <c:showPercent val="0"/>
          <c:showBubbleSize val="0"/>
        </c:dLbls>
        <c:smooth val="0"/>
        <c:axId val="944933727"/>
        <c:axId val="944939487"/>
        <c:extLst>
          <c:ext xmlns:c15="http://schemas.microsoft.com/office/drawing/2012/chart" uri="{02D57815-91ED-43cb-92C2-25804820EDAC}">
            <c15:filteredLineSeries>
              <c15:ser>
                <c:idx val="0"/>
                <c:order val="0"/>
                <c:tx>
                  <c:v>Dépense bâtimentaires - construction de tertiaire neuf</c:v>
                </c:tx>
                <c:spPr>
                  <a:ln w="28575" cap="rnd">
                    <a:solidFill>
                      <a:schemeClr val="accent1"/>
                    </a:solidFill>
                    <a:round/>
                  </a:ln>
                  <a:effectLst/>
                </c:spPr>
                <c:marker>
                  <c:symbol val="none"/>
                </c:marker>
                <c:cat>
                  <c:numRef>
                    <c:extLst>
                      <c:ex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uri="{02D57815-91ED-43cb-92C2-25804820EDAC}">
                        <c15:formulaRef>
                          <c15:sqref>Synthèse!$E$160:$Q$160</c15:sqref>
                        </c15:formulaRef>
                      </c:ext>
                    </c:extLst>
                    <c:numCache>
                      <c:formatCode>General</c:formatCode>
                      <c:ptCount val="13"/>
                      <c:pt idx="0">
                        <c:v>2723.1513242791293</c:v>
                      </c:pt>
                      <c:pt idx="1">
                        <c:v>2839.2793995434617</c:v>
                      </c:pt>
                      <c:pt idx="2">
                        <c:v>3021.4999127774868</c:v>
                      </c:pt>
                      <c:pt idx="3">
                        <c:v>2701.6161793558308</c:v>
                      </c:pt>
                      <c:pt idx="4">
                        <c:v>2365.6243978688781</c:v>
                      </c:pt>
                      <c:pt idx="5">
                        <c:v>2258.0142557110989</c:v>
                      </c:pt>
                      <c:pt idx="6">
                        <c:v>2378.7608518710927</c:v>
                      </c:pt>
                      <c:pt idx="7">
                        <c:v>2586.6951359427981</c:v>
                      </c:pt>
                      <c:pt idx="8">
                        <c:v>2897.2565401056677</c:v>
                      </c:pt>
                      <c:pt idx="9">
                        <c:v>2275.2997085680436</c:v>
                      </c:pt>
                      <c:pt idx="10">
                        <c:v>2516.784163326693</c:v>
                      </c:pt>
                      <c:pt idx="11">
                        <c:v>2705.0703433253411</c:v>
                      </c:pt>
                      <c:pt idx="12">
                        <c:v>2897.9369413372947</c:v>
                      </c:pt>
                    </c:numCache>
                  </c:numRef>
                </c:val>
                <c:smooth val="0"/>
                <c:extLst>
                  <c:ext xmlns:c16="http://schemas.microsoft.com/office/drawing/2014/chart" uri="{C3380CC4-5D6E-409C-BE32-E72D297353CC}">
                    <c16:uniqueId val="{00000000-3914-449F-A7C3-DDDFC9E5039B}"/>
                  </c:ext>
                </c:extLst>
              </c15:ser>
            </c15:filteredLineSeries>
            <c15:filteredLineSeries>
              <c15:ser>
                <c:idx val="1"/>
                <c:order val="1"/>
                <c:tx>
                  <c:v>Construction de nouvelles routes</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Synthèse!$E$166:$Q$166</c15:sqref>
                        </c15:formulaRef>
                      </c:ext>
                    </c:extLst>
                    <c:numCache>
                      <c:formatCode>General</c:formatCode>
                      <c:ptCount val="13"/>
                      <c:pt idx="0">
                        <c:v>1428.4215693726983</c:v>
                      </c:pt>
                      <c:pt idx="1">
                        <c:v>1504.0411664327596</c:v>
                      </c:pt>
                      <c:pt idx="2">
                        <c:v>1616.6232115523449</c:v>
                      </c:pt>
                      <c:pt idx="3">
                        <c:v>1414.1053459572581</c:v>
                      </c:pt>
                      <c:pt idx="4">
                        <c:v>1279.6924445813186</c:v>
                      </c:pt>
                      <c:pt idx="5">
                        <c:v>1288.4287596532042</c:v>
                      </c:pt>
                      <c:pt idx="6">
                        <c:v>1351.2727530455982</c:v>
                      </c:pt>
                      <c:pt idx="7">
                        <c:v>1475.6337895466304</c:v>
                      </c:pt>
                      <c:pt idx="8">
                        <c:v>1636.5264492985129</c:v>
                      </c:pt>
                      <c:pt idx="9">
                        <c:v>1296.2313140851968</c:v>
                      </c:pt>
                      <c:pt idx="10">
                        <c:v>1362.6910688585995</c:v>
                      </c:pt>
                      <c:pt idx="11">
                        <c:v>1485.5562657960211</c:v>
                      </c:pt>
                      <c:pt idx="12">
                        <c:v>1496.2720677097618</c:v>
                      </c:pt>
                    </c:numCache>
                  </c:numRef>
                </c:val>
                <c:smooth val="0"/>
                <c:extLst xmlns:c15="http://schemas.microsoft.com/office/drawing/2012/chart">
                  <c:ext xmlns:c16="http://schemas.microsoft.com/office/drawing/2014/chart" uri="{C3380CC4-5D6E-409C-BE32-E72D297353CC}">
                    <c16:uniqueId val="{00000001-3914-449F-A7C3-DDDFC9E5039B}"/>
                  </c:ext>
                </c:extLst>
              </c15:ser>
            </c15:filteredLineSeries>
            <c15:filteredLineSeries>
              <c15:ser>
                <c:idx val="5"/>
                <c:order val="2"/>
                <c:tx>
                  <c:v>Subventions aux aéroports régionaux</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Synthèse!$E$165:$Q$165</c15:sqref>
                        </c15:formulaRef>
                      </c:ext>
                    </c:extLst>
                    <c:numCache>
                      <c:formatCode>General</c:formatCode>
                      <c:ptCount val="13"/>
                      <c:pt idx="0">
                        <c:v>75.174818337072637</c:v>
                      </c:pt>
                      <c:pt idx="1">
                        <c:v>74.649044557747729</c:v>
                      </c:pt>
                      <c:pt idx="2">
                        <c:v>74.26545221974726</c:v>
                      </c:pt>
                      <c:pt idx="3">
                        <c:v>74.100396091893316</c:v>
                      </c:pt>
                      <c:pt idx="4">
                        <c:v>74.178747026169702</c:v>
                      </c:pt>
                      <c:pt idx="5">
                        <c:v>74.146896984509695</c:v>
                      </c:pt>
                      <c:pt idx="6">
                        <c:v>73.179294158553546</c:v>
                      </c:pt>
                      <c:pt idx="7">
                        <c:v>72.836606283458607</c:v>
                      </c:pt>
                      <c:pt idx="8">
                        <c:v>72.250569114412912</c:v>
                      </c:pt>
                      <c:pt idx="9">
                        <c:v>67.348368000000008</c:v>
                      </c:pt>
                      <c:pt idx="10">
                        <c:v>67.464406779661005</c:v>
                      </c:pt>
                      <c:pt idx="11">
                        <c:v>66.231050183405941</c:v>
                      </c:pt>
                      <c:pt idx="12">
                        <c:v>64.2</c:v>
                      </c:pt>
                    </c:numCache>
                  </c:numRef>
                </c:val>
                <c:smooth val="0"/>
                <c:extLst xmlns:c15="http://schemas.microsoft.com/office/drawing/2012/chart">
                  <c:ext xmlns:c16="http://schemas.microsoft.com/office/drawing/2014/chart" uri="{C3380CC4-5D6E-409C-BE32-E72D297353CC}">
                    <c16:uniqueId val="{00000002-3914-449F-A7C3-DDDFC9E5039B}"/>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Synthèse!$C$4</c15:sqref>
                        </c15:formulaRef>
                      </c:ext>
                    </c:extLst>
                    <c:strCache>
                      <c:ptCount val="1"/>
                      <c:pt idx="0">
                        <c:v>Dépenses brunes </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Synthèse!$E$14:$Q$14</c15:sqref>
                        </c15:formulaRef>
                      </c:ext>
                    </c:extLst>
                    <c:numCache>
                      <c:formatCode>General</c:formatCode>
                      <c:ptCount val="13"/>
                      <c:pt idx="0">
                        <c:v>6703.2732204123695</c:v>
                      </c:pt>
                      <c:pt idx="1">
                        <c:v>7084.3849120119658</c:v>
                      </c:pt>
                      <c:pt idx="2">
                        <c:v>7609.2150409332298</c:v>
                      </c:pt>
                      <c:pt idx="3">
                        <c:v>6872.7865270730645</c:v>
                      </c:pt>
                      <c:pt idx="4">
                        <c:v>6518.0286542285266</c:v>
                      </c:pt>
                      <c:pt idx="5">
                        <c:v>6251.9813408728696</c:v>
                      </c:pt>
                      <c:pt idx="6">
                        <c:v>6480.5610023278186</c:v>
                      </c:pt>
                      <c:pt idx="7">
                        <c:v>6973.3501845551436</c:v>
                      </c:pt>
                      <c:pt idx="8">
                        <c:v>7356.4068270627058</c:v>
                      </c:pt>
                      <c:pt idx="9">
                        <c:v>6345.255908555413</c:v>
                      </c:pt>
                      <c:pt idx="10">
                        <c:v>6790.5243644145994</c:v>
                      </c:pt>
                      <c:pt idx="11">
                        <c:v>7386.7998314549304</c:v>
                      </c:pt>
                      <c:pt idx="12">
                        <c:v>8003.6628490142375</c:v>
                      </c:pt>
                    </c:numCache>
                  </c:numRef>
                </c:val>
                <c:smooth val="0"/>
                <c:extLst xmlns:c15="http://schemas.microsoft.com/office/drawing/2012/chart">
                  <c:ext xmlns:c16="http://schemas.microsoft.com/office/drawing/2014/chart" uri="{C3380CC4-5D6E-409C-BE32-E72D297353CC}">
                    <c16:uniqueId val="{00000006-3914-449F-A7C3-DDDFC9E5039B}"/>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7E350E"/>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7-3914-449F-A7C3-DDDFC9E5039B}"/>
                  </c:ext>
                </c:extLst>
              </c15:ser>
            </c15:filteredLineSeries>
            <c15:filteredLineSeries>
              <c15:ser>
                <c:idx val="3"/>
                <c:order val="5"/>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196B24"/>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8-3914-449F-A7C3-DDDFC9E5039B}"/>
                  </c:ext>
                </c:extLst>
              </c15:ser>
            </c15:filteredLineSeries>
            <c15:filteredLineSeries>
              <c15:ser>
                <c:idx val="7"/>
                <c:order val="6"/>
                <c:tx>
                  <c:v>Rénovation des bâtiments tertiaires</c:v>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Synthèse!$E$5:$Q$5</c15:sqref>
                        </c15:formulaRef>
                      </c:ext>
                    </c:extLst>
                    <c:numCache>
                      <c:formatCode>General</c:formatCode>
                      <c:ptCount val="13"/>
                      <c:pt idx="0">
                        <c:v>298.90044230129268</c:v>
                      </c:pt>
                      <c:pt idx="1">
                        <c:v>309.96916477238227</c:v>
                      </c:pt>
                      <c:pt idx="2">
                        <c:v>318.26484061515839</c:v>
                      </c:pt>
                      <c:pt idx="3">
                        <c:v>323.66808158194419</c:v>
                      </c:pt>
                      <c:pt idx="4">
                        <c:v>315.68068987567557</c:v>
                      </c:pt>
                      <c:pt idx="5">
                        <c:v>353.66320902101529</c:v>
                      </c:pt>
                      <c:pt idx="6">
                        <c:v>378.95815881878286</c:v>
                      </c:pt>
                      <c:pt idx="7">
                        <c:v>412.49785160450801</c:v>
                      </c:pt>
                      <c:pt idx="8">
                        <c:v>384.19603634532638</c:v>
                      </c:pt>
                      <c:pt idx="9">
                        <c:v>381.9293557671794</c:v>
                      </c:pt>
                      <c:pt idx="10">
                        <c:v>505.95505652810988</c:v>
                      </c:pt>
                      <c:pt idx="11">
                        <c:v>414.76021525169767</c:v>
                      </c:pt>
                      <c:pt idx="12">
                        <c:v>335.48251784312123</c:v>
                      </c:pt>
                    </c:numCache>
                  </c:numRef>
                </c:val>
                <c:smooth val="0"/>
                <c:extLst xmlns:c15="http://schemas.microsoft.com/office/drawing/2012/chart">
                  <c:ext xmlns:c16="http://schemas.microsoft.com/office/drawing/2014/chart" uri="{C3380CC4-5D6E-409C-BE32-E72D297353CC}">
                    <c16:uniqueId val="{00000003-3914-449F-A7C3-DDDFC9E5039B}"/>
                  </c:ext>
                </c:extLst>
              </c15:ser>
            </c15:filteredLineSeries>
            <c15:filteredLineSeries>
              <c15:ser>
                <c:idx val="8"/>
                <c:order val="8"/>
                <c:tx>
                  <c:v>Matériel roulant ferroviaire</c:v>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Synthèse!$E$26:$Q$26</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Synthèse!$E$13:$Q$13</c15:sqref>
                        </c15:formulaRef>
                      </c:ext>
                    </c:extLst>
                    <c:numCache>
                      <c:formatCode>General</c:formatCode>
                      <c:ptCount val="13"/>
                      <c:pt idx="0">
                        <c:v>0</c:v>
                      </c:pt>
                      <c:pt idx="1">
                        <c:v>96.761910808633758</c:v>
                      </c:pt>
                      <c:pt idx="2">
                        <c:v>160.62087810286286</c:v>
                      </c:pt>
                      <c:pt idx="3">
                        <c:v>102.00166435517774</c:v>
                      </c:pt>
                      <c:pt idx="4">
                        <c:v>35.353860817491721</c:v>
                      </c:pt>
                      <c:pt idx="5">
                        <c:v>48.149798417548041</c:v>
                      </c:pt>
                      <c:pt idx="6">
                        <c:v>29.685115540315788</c:v>
                      </c:pt>
                      <c:pt idx="7">
                        <c:v>88.294309229024236</c:v>
                      </c:pt>
                      <c:pt idx="8">
                        <c:v>71.926756432493974</c:v>
                      </c:pt>
                      <c:pt idx="9">
                        <c:v>103.23398977299442</c:v>
                      </c:pt>
                      <c:pt idx="10">
                        <c:v>76.71077245524279</c:v>
                      </c:pt>
                      <c:pt idx="11">
                        <c:v>87.078854785630014</c:v>
                      </c:pt>
                      <c:pt idx="12">
                        <c:v>0</c:v>
                      </c:pt>
                    </c:numCache>
                  </c:numRef>
                </c:val>
                <c:smooth val="0"/>
                <c:extLst xmlns:c15="http://schemas.microsoft.com/office/drawing/2012/chart">
                  <c:ext xmlns:c16="http://schemas.microsoft.com/office/drawing/2014/chart" uri="{C3380CC4-5D6E-409C-BE32-E72D297353CC}">
                    <c16:uniqueId val="{00000005-3914-449F-A7C3-DDDFC9E5039B}"/>
                  </c:ext>
                </c:extLst>
              </c15:ser>
            </c15:filteredLineSeries>
          </c:ext>
        </c:extLst>
      </c:lineChart>
      <c:catAx>
        <c:axId val="94493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9487"/>
        <c:crosses val="autoZero"/>
        <c:auto val="1"/>
        <c:lblAlgn val="ctr"/>
        <c:lblOffset val="100"/>
        <c:noMultiLvlLbl val="0"/>
      </c:catAx>
      <c:valAx>
        <c:axId val="944939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Part</a:t>
            </a:r>
            <a:r>
              <a:rPr lang="fr-FR" baseline="0"/>
              <a:t> des dépenses brunes au sein des dépenses d'équipement (en %)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4.1869623439927152E-2"/>
          <c:y val="0.12323474405432727"/>
          <c:w val="0.92819840377095719"/>
          <c:h val="0.77810566682650839"/>
        </c:manualLayout>
      </c:layout>
      <c:lineChart>
        <c:grouping val="standard"/>
        <c:varyColors val="0"/>
        <c:ser>
          <c:idx val="5"/>
          <c:order val="4"/>
          <c:tx>
            <c:v>Dépenses brunes hors dépenses énergétiques</c:v>
          </c:tx>
          <c:spPr>
            <a:ln w="28575" cap="rnd">
              <a:solidFill>
                <a:schemeClr val="accent2">
                  <a:lumMod val="50000"/>
                </a:schemeClr>
              </a:solidFill>
              <a:round/>
            </a:ln>
            <a:effectLst/>
          </c:spPr>
          <c:marker>
            <c:symbol val="none"/>
          </c:marker>
          <c:val>
            <c:numRef>
              <c:f>Synthèse!$E$213:$Q$213</c:f>
              <c:numCache>
                <c:formatCode>0%</c:formatCode>
                <c:ptCount val="13"/>
                <c:pt idx="0">
                  <c:v>0.10303436657108192</c:v>
                </c:pt>
                <c:pt idx="1">
                  <c:v>0.10606998719110447</c:v>
                </c:pt>
                <c:pt idx="2">
                  <c:v>0.10960677642980998</c:v>
                </c:pt>
                <c:pt idx="3">
                  <c:v>0.10900918584979531</c:v>
                </c:pt>
                <c:pt idx="4">
                  <c:v>0.11357126071589195</c:v>
                </c:pt>
                <c:pt idx="5">
                  <c:v>0.11166825587835509</c:v>
                </c:pt>
                <c:pt idx="6" formatCode="0.0%">
                  <c:v>0.10771971936896571</c:v>
                </c:pt>
                <c:pt idx="7">
                  <c:v>0.10774318971909193</c:v>
                </c:pt>
                <c:pt idx="8">
                  <c:v>0.10241583338163596</c:v>
                </c:pt>
                <c:pt idx="9">
                  <c:v>9.9471299455556744E-2</c:v>
                </c:pt>
                <c:pt idx="10">
                  <c:v>9.5916900726046944E-2</c:v>
                </c:pt>
                <c:pt idx="11">
                  <c:v>9.0158549389945344E-2</c:v>
                </c:pt>
                <c:pt idx="12" formatCode="0.0%">
                  <c:v>8.5978168483767409E-2</c:v>
                </c:pt>
              </c:numCache>
            </c:numRef>
          </c:val>
          <c:smooth val="0"/>
          <c:extLst>
            <c:ext xmlns:c16="http://schemas.microsoft.com/office/drawing/2014/chart" uri="{C3380CC4-5D6E-409C-BE32-E72D297353CC}">
              <c16:uniqueId val="{00000005-7FC3-4B17-91B3-5CF2775FD2BE}"/>
            </c:ext>
          </c:extLst>
        </c:ser>
        <c:dLbls>
          <c:showLegendKey val="0"/>
          <c:showVal val="0"/>
          <c:showCatName val="0"/>
          <c:showSerName val="0"/>
          <c:showPercent val="0"/>
          <c:showBubbleSize val="0"/>
        </c:dLbls>
        <c:smooth val="0"/>
        <c:axId val="1299373711"/>
        <c:axId val="1299364111"/>
        <c:extLst>
          <c:ext xmlns:c15="http://schemas.microsoft.com/office/drawing/2012/chart" uri="{02D57815-91ED-43cb-92C2-25804820EDAC}">
            <c15:filteredLineSeries>
              <c15:ser>
                <c:idx val="0"/>
                <c:order val="0"/>
                <c:tx>
                  <c:strRef>
                    <c:extLst>
                      <c:ext uri="{02D57815-91ED-43cb-92C2-25804820EDAC}">
                        <c15:formulaRef>
                          <c15:sqref>Synthèse!$C$211</c15:sqref>
                        </c15:formulaRef>
                      </c:ext>
                    </c:extLst>
                    <c:strCache>
                      <c:ptCount val="1"/>
                      <c:pt idx="0">
                        <c:v>Part des dépenses dans les dépenses d'équipement (€ constants 2023)</c:v>
                      </c:pt>
                    </c:strCache>
                  </c:strRef>
                </c:tx>
                <c:spPr>
                  <a:ln w="28575" cap="rnd">
                    <a:solidFill>
                      <a:schemeClr val="accent1"/>
                    </a:solidFill>
                    <a:round/>
                  </a:ln>
                  <a:effectLst/>
                </c:spPr>
                <c:marker>
                  <c:symbol val="none"/>
                </c:marker>
                <c:cat>
                  <c:numRef>
                    <c:extLst>
                      <c:ext uri="{02D57815-91ED-43cb-92C2-25804820EDAC}">
                        <c15:formulaRef>
                          <c15:sqref>Synthèse!$E$211:$Q$211</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uri="{02D57815-91ED-43cb-92C2-25804820EDAC}">
                        <c15:formulaRef>
                          <c15:sqref>Synthèse!$D$215:$Q$215</c15:sqref>
                        </c15:formulaRef>
                      </c:ext>
                    </c:extLst>
                    <c:numCache>
                      <c:formatCode>0%</c:formatCode>
                      <c:ptCount val="14"/>
                      <c:pt idx="1">
                        <c:v>0.61848502126566252</c:v>
                      </c:pt>
                      <c:pt idx="2">
                        <c:v>0.63944169550078289</c:v>
                      </c:pt>
                      <c:pt idx="3">
                        <c:v>0.66276159036512783</c:v>
                      </c:pt>
                      <c:pt idx="4">
                        <c:v>0.66805179997436981</c:v>
                      </c:pt>
                      <c:pt idx="5">
                        <c:v>0.6874239523838801</c:v>
                      </c:pt>
                      <c:pt idx="6">
                        <c:v>0.68226256542441588</c:v>
                      </c:pt>
                      <c:pt idx="7">
                        <c:v>0.67114769741191305</c:v>
                      </c:pt>
                      <c:pt idx="8">
                        <c:v>0.67492954960978735</c:v>
                      </c:pt>
                      <c:pt idx="9">
                        <c:v>0.66459993008975937</c:v>
                      </c:pt>
                      <c:pt idx="10">
                        <c:v>0.67225083378651151</c:v>
                      </c:pt>
                      <c:pt idx="11">
                        <c:v>0.68309550496492821</c:v>
                      </c:pt>
                      <c:pt idx="12">
                        <c:v>0.68253117827729903</c:v>
                      </c:pt>
                      <c:pt idx="13">
                        <c:v>0.68642863620854433</c:v>
                      </c:pt>
                    </c:numCache>
                  </c:numRef>
                </c:val>
                <c:smooth val="0"/>
                <c:extLst>
                  <c:ext xmlns:c16="http://schemas.microsoft.com/office/drawing/2014/chart" uri="{C3380CC4-5D6E-409C-BE32-E72D297353CC}">
                    <c16:uniqueId val="{00000000-7FC3-4B17-91B3-5CF2775FD2BE}"/>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Synthèse!$C$212</c15:sqref>
                        </c15:formulaRef>
                      </c:ext>
                    </c:extLst>
                    <c:strCache>
                      <c:ptCount val="1"/>
                      <c:pt idx="0">
                        <c:v>Dépenses brunes </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Synthèse!$E$211:$Q$211</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Synthèse!$D$212:$Q$212</c15:sqref>
                        </c15:formulaRef>
                      </c:ext>
                    </c:extLst>
                    <c:numCache>
                      <c:formatCode>0%</c:formatCode>
                      <c:ptCount val="14"/>
                      <c:pt idx="1">
                        <c:v>0.13668466795021586</c:v>
                      </c:pt>
                      <c:pt idx="2">
                        <c:v>0.14218260758584483</c:v>
                      </c:pt>
                      <c:pt idx="3">
                        <c:v>0.14601907544548423</c:v>
                      </c:pt>
                      <c:pt idx="4">
                        <c:v>0.14688888768373323</c:v>
                      </c:pt>
                      <c:pt idx="5">
                        <c:v>0.15412225600405993</c:v>
                      </c:pt>
                      <c:pt idx="6">
                        <c:v>0.15080626435908051</c:v>
                      </c:pt>
                      <c:pt idx="7">
                        <c:v>0.1459204500888463</c:v>
                      </c:pt>
                      <c:pt idx="8">
                        <c:v>0.14582052215125552</c:v>
                      </c:pt>
                      <c:pt idx="9">
                        <c:v>0.1364495216183326</c:v>
                      </c:pt>
                      <c:pt idx="10">
                        <c:v>0.13443278383137125</c:v>
                      </c:pt>
                      <c:pt idx="11">
                        <c:v>0.13090175656604011</c:v>
                      </c:pt>
                      <c:pt idx="12">
                        <c:v>0.13063362562088737</c:v>
                      </c:pt>
                      <c:pt idx="13">
                        <c:v>0.12934154606627293</c:v>
                      </c:pt>
                    </c:numCache>
                  </c:numRef>
                </c:val>
                <c:smooth val="0"/>
                <c:extLst xmlns:c15="http://schemas.microsoft.com/office/drawing/2012/chart">
                  <c:ext xmlns:c16="http://schemas.microsoft.com/office/drawing/2014/chart" uri="{C3380CC4-5D6E-409C-BE32-E72D297353CC}">
                    <c16:uniqueId val="{00000001-7FC3-4B17-91B3-5CF2775FD2BE}"/>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Synthèse!$C$214</c15:sqref>
                        </c15:formulaRef>
                      </c:ext>
                    </c:extLst>
                    <c:strCache>
                      <c:ptCount val="1"/>
                      <c:pt idx="0">
                        <c:v>Dépense vertes</c:v>
                      </c:pt>
                    </c:strCache>
                  </c:strRef>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Synthèse!$E$211:$Q$211</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Synthèse!$D$214:$Q$214</c15:sqref>
                        </c15:formulaRef>
                      </c:ext>
                    </c:extLst>
                    <c:numCache>
                      <c:formatCode>0%</c:formatCode>
                      <c:ptCount val="14"/>
                      <c:pt idx="7" formatCode="0.0%">
                        <c:v>0.11415339810279931</c:v>
                      </c:pt>
                      <c:pt idx="8">
                        <c:v>0.12077710660824297</c:v>
                      </c:pt>
                      <c:pt idx="9">
                        <c:v>0.10932005735634812</c:v>
                      </c:pt>
                      <c:pt idx="10">
                        <c:v>0.14508972171436801</c:v>
                      </c:pt>
                      <c:pt idx="11">
                        <c:v>0.12207197942244079</c:v>
                      </c:pt>
                      <c:pt idx="12">
                        <c:v>0.12495004663453485</c:v>
                      </c:pt>
                      <c:pt idx="13" formatCode="0.00%">
                        <c:v>0.122622851991563</c:v>
                      </c:pt>
                    </c:numCache>
                  </c:numRef>
                </c:val>
                <c:smooth val="0"/>
                <c:extLst xmlns:c15="http://schemas.microsoft.com/office/drawing/2012/chart">
                  <c:ext xmlns:c16="http://schemas.microsoft.com/office/drawing/2014/chart" uri="{C3380CC4-5D6E-409C-BE32-E72D297353CC}">
                    <c16:uniqueId val="{00000003-7FC3-4B17-91B3-5CF2775FD2BE}"/>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Synthèse!$C$215</c15:sqref>
                        </c15:formulaRef>
                      </c:ext>
                    </c:extLst>
                    <c:strCache>
                      <c:ptCount val="1"/>
                      <c:pt idx="0">
                        <c:v>Dépenses totales considérées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Synthèse!$E$211:$Q$211</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Synthèse!$D$215:$Q$215</c15:sqref>
                        </c15:formulaRef>
                      </c:ext>
                    </c:extLst>
                    <c:numCache>
                      <c:formatCode>0%</c:formatCode>
                      <c:ptCount val="14"/>
                      <c:pt idx="1">
                        <c:v>0.61848502126566252</c:v>
                      </c:pt>
                      <c:pt idx="2">
                        <c:v>0.63944169550078289</c:v>
                      </c:pt>
                      <c:pt idx="3">
                        <c:v>0.66276159036512783</c:v>
                      </c:pt>
                      <c:pt idx="4">
                        <c:v>0.66805179997436981</c:v>
                      </c:pt>
                      <c:pt idx="5">
                        <c:v>0.6874239523838801</c:v>
                      </c:pt>
                      <c:pt idx="6">
                        <c:v>0.68226256542441588</c:v>
                      </c:pt>
                      <c:pt idx="7">
                        <c:v>0.67114769741191305</c:v>
                      </c:pt>
                      <c:pt idx="8">
                        <c:v>0.67492954960978735</c:v>
                      </c:pt>
                      <c:pt idx="9">
                        <c:v>0.66459993008975937</c:v>
                      </c:pt>
                      <c:pt idx="10">
                        <c:v>0.67225083378651151</c:v>
                      </c:pt>
                      <c:pt idx="11">
                        <c:v>0.68309550496492821</c:v>
                      </c:pt>
                      <c:pt idx="12">
                        <c:v>0.68253117827729903</c:v>
                      </c:pt>
                      <c:pt idx="13">
                        <c:v>0.68642863620854433</c:v>
                      </c:pt>
                    </c:numCache>
                  </c:numRef>
                </c:val>
                <c:smooth val="0"/>
                <c:extLst xmlns:c15="http://schemas.microsoft.com/office/drawing/2012/chart">
                  <c:ext xmlns:c16="http://schemas.microsoft.com/office/drawing/2014/chart" uri="{C3380CC4-5D6E-409C-BE32-E72D297353CC}">
                    <c16:uniqueId val="{00000004-7FC3-4B17-91B3-5CF2775FD2BE}"/>
                  </c:ext>
                </c:extLst>
              </c15:ser>
            </c15:filteredLineSeries>
          </c:ext>
        </c:extLst>
      </c:lineChart>
      <c:catAx>
        <c:axId val="1299373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9364111"/>
        <c:crosses val="autoZero"/>
        <c:auto val="1"/>
        <c:lblAlgn val="ctr"/>
        <c:lblOffset val="100"/>
        <c:noMultiLvlLbl val="0"/>
      </c:catAx>
      <c:valAx>
        <c:axId val="129936411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9373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d'investissement</a:t>
            </a:r>
            <a:r>
              <a:rPr lang="fr-FR" baseline="0"/>
              <a:t> 2023 - Périmètre de l'analyse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spPr>
            <a:solidFill>
              <a:schemeClr val="bg2">
                <a:lumMod val="90000"/>
              </a:schemeClr>
            </a:solidFill>
          </c:spPr>
          <c:dPt>
            <c:idx val="0"/>
            <c:bubble3D val="0"/>
            <c:spPr>
              <a:solidFill>
                <a:schemeClr val="tx2">
                  <a:lumMod val="25000"/>
                  <a:lumOff val="75000"/>
                </a:schemeClr>
              </a:solidFill>
              <a:ln w="19050">
                <a:solidFill>
                  <a:schemeClr val="lt1"/>
                </a:solidFill>
              </a:ln>
              <a:effectLst/>
            </c:spPr>
            <c:extLst>
              <c:ext xmlns:c16="http://schemas.microsoft.com/office/drawing/2014/chart" uri="{C3380CC4-5D6E-409C-BE32-E72D297353CC}">
                <c16:uniqueId val="{00000001-A328-4589-913B-B56A535114B2}"/>
              </c:ext>
            </c:extLst>
          </c:dPt>
          <c:dPt>
            <c:idx val="1"/>
            <c:bubble3D val="0"/>
            <c:spPr>
              <a:solidFill>
                <a:schemeClr val="bg2">
                  <a:lumMod val="90000"/>
                </a:schemeClr>
              </a:solidFill>
              <a:ln w="19050">
                <a:solidFill>
                  <a:schemeClr val="lt1"/>
                </a:solidFill>
              </a:ln>
              <a:effectLst/>
            </c:spPr>
            <c:extLst>
              <c:ext xmlns:c16="http://schemas.microsoft.com/office/drawing/2014/chart" uri="{C3380CC4-5D6E-409C-BE32-E72D297353CC}">
                <c16:uniqueId val="{00000003-A328-4589-913B-B56A535114B2}"/>
              </c:ext>
            </c:extLst>
          </c:dPt>
          <c:dPt>
            <c:idx val="2"/>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2-A328-4589-913B-B56A535114B2}"/>
              </c:ext>
            </c:extLst>
          </c:dPt>
          <c:dLbls>
            <c:dLbl>
              <c:idx val="0"/>
              <c:layout>
                <c:manualLayout>
                  <c:x val="-9.1942891112037378E-2"/>
                  <c:y val="-0.138847674616270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28-4589-913B-B56A535114B2}"/>
                </c:ext>
              </c:extLst>
            </c:dLbl>
            <c:dLbl>
              <c:idx val="1"/>
              <c:layout>
                <c:manualLayout>
                  <c:x val="8.6507736282057934E-2"/>
                  <c:y val="4.353331371482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28-4589-913B-B56A535114B2}"/>
                </c:ext>
              </c:extLst>
            </c:dLbl>
            <c:dLbl>
              <c:idx val="2"/>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4.7992263985476111E-2"/>
                      <c:h val="0.13126296452080255"/>
                    </c:manualLayout>
                  </c15:layout>
                </c:ext>
                <c:ext xmlns:c16="http://schemas.microsoft.com/office/drawing/2014/chart" uri="{C3380CC4-5D6E-409C-BE32-E72D297353CC}">
                  <c16:uniqueId val="{00000002-A328-4589-913B-B56A535114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(Synthèse!$C$232,Synthèse!$C$234,Synthèse!$C$235)</c:f>
              <c:strCache>
                <c:ptCount val="3"/>
                <c:pt idx="0">
                  <c:v>Dépenses d'investissement non analysées</c:v>
                </c:pt>
                <c:pt idx="1">
                  <c:v>Dépenses d'investissement analysées non brunes</c:v>
                </c:pt>
                <c:pt idx="2">
                  <c:v>Dépenses d'investissement analysées et brunes </c:v>
                </c:pt>
              </c:strCache>
            </c:strRef>
          </c:cat>
          <c:val>
            <c:numRef>
              <c:f>(Synthèse!$F$232,Synthèse!$F$234,Synthèse!$F$235)</c:f>
              <c:numCache>
                <c:formatCode>0%</c:formatCode>
                <c:ptCount val="3"/>
                <c:pt idx="0">
                  <c:v>0.52341490275348612</c:v>
                </c:pt>
                <c:pt idx="1">
                  <c:v>0.40637451290918369</c:v>
                </c:pt>
                <c:pt idx="2">
                  <c:v>7.0210584337330212E-2</c:v>
                </c:pt>
              </c:numCache>
            </c:numRef>
          </c:val>
          <c:extLst>
            <c:ext xmlns:c16="http://schemas.microsoft.com/office/drawing/2014/chart" uri="{C3380CC4-5D6E-409C-BE32-E72D297353CC}">
              <c16:uniqueId val="{00000000-A328-4589-913B-B56A535114B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a:t>
            </a:r>
            <a:r>
              <a:rPr lang="fr-FR" baseline="0"/>
              <a:t> de fonctionnement 2023  - Périmètre de l'analyse </a:t>
            </a:r>
          </a:p>
          <a:p>
            <a:pPr>
              <a:defRPr/>
            </a:pP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spPr>
            <a:ln>
              <a:solidFill>
                <a:schemeClr val="tx2">
                  <a:lumMod val="10000"/>
                  <a:lumOff val="90000"/>
                </a:schemeClr>
              </a:solidFill>
            </a:ln>
          </c:spPr>
          <c:dPt>
            <c:idx val="0"/>
            <c:bubble3D val="0"/>
            <c:spPr>
              <a:solidFill>
                <a:schemeClr val="accent1"/>
              </a:solidFill>
              <a:ln w="19050">
                <a:solidFill>
                  <a:schemeClr val="tx2">
                    <a:lumMod val="10000"/>
                    <a:lumOff val="90000"/>
                  </a:schemeClr>
                </a:solidFill>
              </a:ln>
              <a:effectLst/>
            </c:spPr>
            <c:extLst>
              <c:ext xmlns:c16="http://schemas.microsoft.com/office/drawing/2014/chart" uri="{C3380CC4-5D6E-409C-BE32-E72D297353CC}">
                <c16:uniqueId val="{00000002-2B8B-4028-9EBD-2BBA257A82F3}"/>
              </c:ext>
            </c:extLst>
          </c:dPt>
          <c:dPt>
            <c:idx val="1"/>
            <c:bubble3D val="0"/>
            <c:spPr>
              <a:solidFill>
                <a:schemeClr val="accent2"/>
              </a:solidFill>
              <a:ln w="19050">
                <a:solidFill>
                  <a:schemeClr val="tx2">
                    <a:lumMod val="10000"/>
                    <a:lumOff val="90000"/>
                  </a:schemeClr>
                </a:solidFill>
              </a:ln>
              <a:effectLst/>
            </c:spPr>
            <c:extLst>
              <c:ext xmlns:c16="http://schemas.microsoft.com/office/drawing/2014/chart" uri="{C3380CC4-5D6E-409C-BE32-E72D297353CC}">
                <c16:uniqueId val="{00000003-683E-4D13-82D3-9EE4D6B9645C}"/>
              </c:ext>
            </c:extLst>
          </c:dPt>
          <c:dPt>
            <c:idx val="2"/>
            <c:bubble3D val="0"/>
            <c:spPr>
              <a:solidFill>
                <a:schemeClr val="accent3"/>
              </a:solidFill>
              <a:ln w="19050">
                <a:solidFill>
                  <a:schemeClr val="tx2">
                    <a:lumMod val="10000"/>
                    <a:lumOff val="90000"/>
                  </a:schemeClr>
                </a:solidFill>
              </a:ln>
              <a:effectLst/>
            </c:spPr>
            <c:extLst>
              <c:ext xmlns:c16="http://schemas.microsoft.com/office/drawing/2014/chart" uri="{C3380CC4-5D6E-409C-BE32-E72D297353CC}">
                <c16:uniqueId val="{00000005-683E-4D13-82D3-9EE4D6B9645C}"/>
              </c:ext>
            </c:extLst>
          </c:dPt>
          <c:cat>
            <c:strRef>
              <c:f>(Synthèse!$C$240,Synthèse!$C$241,Synthèse!$C$242)</c:f>
              <c:strCache>
                <c:ptCount val="3"/>
                <c:pt idx="0">
                  <c:v>Dépenses de fonctionnement non analysées </c:v>
                </c:pt>
                <c:pt idx="1">
                  <c:v>Dépenses de fonctionnement analysées non brunes </c:v>
                </c:pt>
                <c:pt idx="2">
                  <c:v>Dépenses de fonctionnement analysées et  brunes</c:v>
                </c:pt>
              </c:strCache>
            </c:strRef>
          </c:cat>
          <c:val>
            <c:numRef>
              <c:f>(Synthèse!$E$240,Synthèse!$E$241,Synthèse!$E$242)</c:f>
              <c:numCache>
                <c:formatCode>#,##0.00</c:formatCode>
                <c:ptCount val="3"/>
                <c:pt idx="0" formatCode="General">
                  <c:v>219230.83700277135</c:v>
                </c:pt>
                <c:pt idx="1">
                  <c:v>5103.4843664566433</c:v>
                </c:pt>
                <c:pt idx="2">
                  <c:v>2834.1455316220672</c:v>
                </c:pt>
              </c:numCache>
            </c:numRef>
          </c:val>
          <c:extLst>
            <c:ext xmlns:c16="http://schemas.microsoft.com/office/drawing/2014/chart" uri="{C3380CC4-5D6E-409C-BE32-E72D297353CC}">
              <c16:uniqueId val="{00000000-2B8B-4028-9EBD-2BBA257A82F3}"/>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7-683E-4D13-82D3-9EE4D6B9645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9-683E-4D13-82D3-9EE4D6B9645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B-683E-4D13-82D3-9EE4D6B9645C}"/>
              </c:ext>
            </c:extLst>
          </c:dPt>
          <c:cat>
            <c:strRef>
              <c:f>(Synthèse!$C$240,Synthèse!$C$241,Synthèse!$C$242)</c:f>
              <c:strCache>
                <c:ptCount val="3"/>
                <c:pt idx="0">
                  <c:v>Dépenses de fonctionnement non analysées </c:v>
                </c:pt>
                <c:pt idx="1">
                  <c:v>Dépenses de fonctionnement analysées non brunes </c:v>
                </c:pt>
                <c:pt idx="2">
                  <c:v>Dépenses de fonctionnement analysées et  brunes</c:v>
                </c:pt>
              </c:strCache>
            </c:strRef>
          </c:cat>
          <c:val>
            <c:numRef>
              <c:f>(Synthèse!$F$240,Synthèse!$F$241,Synthèse!$F$242)</c:f>
              <c:numCache>
                <c:formatCode>0%</c:formatCode>
                <c:ptCount val="3"/>
                <c:pt idx="0">
                  <c:v>0.96505839914153591</c:v>
                </c:pt>
                <c:pt idx="1">
                  <c:v>2.2465637225452202E-2</c:v>
                </c:pt>
                <c:pt idx="2">
                  <c:v>1.2475963633011875E-2</c:v>
                </c:pt>
              </c:numCache>
            </c:numRef>
          </c:val>
          <c:extLst>
            <c:ext xmlns:c16="http://schemas.microsoft.com/office/drawing/2014/chart" uri="{C3380CC4-5D6E-409C-BE32-E72D297353CC}">
              <c16:uniqueId val="{00000001-2B8B-4028-9EBD-2BBA257A82F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brunes</a:t>
            </a:r>
            <a:r>
              <a:rPr lang="fr-FR" baseline="0"/>
              <a:t> et composantes (M€ constants 2023)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5.1653981758185065E-2"/>
          <c:y val="0.12925314176208944"/>
          <c:w val="0.9297776113444195"/>
          <c:h val="0.68008651127234965"/>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Synthèse!$E$150:$Q$150</c:f>
              <c:numCache>
                <c:formatCode>#,##0</c:formatCode>
                <c:ptCount val="13"/>
                <c:pt idx="0">
                  <c:v>5052.9991444954467</c:v>
                </c:pt>
                <c:pt idx="1">
                  <c:v>5285.0389343174038</c:v>
                </c:pt>
                <c:pt idx="2">
                  <c:v>5711.7299863283642</c:v>
                </c:pt>
                <c:pt idx="3">
                  <c:v>5100.4325490487354</c:v>
                </c:pt>
                <c:pt idx="4">
                  <c:v>4803.0748500303689</c:v>
                </c:pt>
                <c:pt idx="5">
                  <c:v>4629.4353559276105</c:v>
                </c:pt>
                <c:pt idx="6">
                  <c:v>4784.0053405754607</c:v>
                </c:pt>
                <c:pt idx="7">
                  <c:v>5152.4365763335772</c:v>
                </c:pt>
                <c:pt idx="8">
                  <c:v>5521.5476533173787</c:v>
                </c:pt>
                <c:pt idx="9">
                  <c:v>4695.0664310707089</c:v>
                </c:pt>
                <c:pt idx="10">
                  <c:v>4975.6861055624058</c:v>
                </c:pt>
                <c:pt idx="11">
                  <c:v>5098.0990099028786</c:v>
                </c:pt>
                <c:pt idx="12">
                  <c:v>5320.3343693388506</c:v>
                </c:pt>
              </c:numCache>
            </c:numRef>
          </c:val>
          <c:smooth val="0"/>
          <c:extLst>
            <c:ext xmlns:c16="http://schemas.microsoft.com/office/drawing/2014/chart" uri="{C3380CC4-5D6E-409C-BE32-E72D297353CC}">
              <c16:uniqueId val="{00000000-5E60-46CD-8597-64EB6BB9D0A6}"/>
            </c:ext>
          </c:extLst>
        </c:ser>
        <c:ser>
          <c:idx val="1"/>
          <c:order val="1"/>
          <c:tx>
            <c:v>Dépenses d'achats de biens</c:v>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Synthèse!$E$156:$Q$156</c:f>
              <c:numCache>
                <c:formatCode>General</c:formatCode>
                <c:ptCount val="13"/>
                <c:pt idx="0">
                  <c:v>1690.0481251579652</c:v>
                </c:pt>
                <c:pt idx="1">
                  <c:v>1727.2501230687021</c:v>
                </c:pt>
                <c:pt idx="2">
                  <c:v>1894.842114910962</c:v>
                </c:pt>
                <c:pt idx="3">
                  <c:v>1697.1573951759567</c:v>
                </c:pt>
                <c:pt idx="4">
                  <c:v>1830.1317352613394</c:v>
                </c:pt>
                <c:pt idx="5">
                  <c:v>1726.1120570033904</c:v>
                </c:pt>
                <c:pt idx="6">
                  <c:v>1649.9044541033029</c:v>
                </c:pt>
                <c:pt idx="7">
                  <c:v>1710.4107035993898</c:v>
                </c:pt>
                <c:pt idx="8">
                  <c:v>1607.9066337638312</c:v>
                </c:pt>
                <c:pt idx="9">
                  <c:v>1286.4330981971766</c:v>
                </c:pt>
                <c:pt idx="10">
                  <c:v>1281.7474550158784</c:v>
                </c:pt>
                <c:pt idx="11">
                  <c:v>1002.5263183408666</c:v>
                </c:pt>
                <c:pt idx="12">
                  <c:v>861.92536029179496</c:v>
                </c:pt>
              </c:numCache>
            </c:numRef>
          </c:val>
          <c:smooth val="0"/>
          <c:extLst>
            <c:ext xmlns:c16="http://schemas.microsoft.com/office/drawing/2014/chart" uri="{C3380CC4-5D6E-409C-BE32-E72D297353CC}">
              <c16:uniqueId val="{00000001-5E60-46CD-8597-64EB6BB9D0A6}"/>
            </c:ext>
          </c:extLst>
        </c:ser>
        <c:ser>
          <c:idx val="5"/>
          <c:order val="2"/>
          <c:tx>
            <c:v>Dépenses énergétiques</c:v>
          </c:tx>
          <c:spPr>
            <a:ln w="28575" cap="rnd">
              <a:solidFill>
                <a:srgbClr val="7030A0"/>
              </a:solidFill>
              <a:round/>
            </a:ln>
            <a:effectLst/>
          </c:spPr>
          <c:marker>
            <c:symbol val="circle"/>
            <c:size val="5"/>
            <c:spPr>
              <a:solidFill>
                <a:schemeClr val="accent5">
                  <a:lumMod val="75000"/>
                </a:schemeClr>
              </a:solidFill>
              <a:ln w="9525">
                <a:solidFill>
                  <a:srgbClr val="7030A0"/>
                </a:solidFill>
                <a:prstDash val="solid"/>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Synthèse!$E$153:$Q$153</c:f>
              <c:numCache>
                <c:formatCode>#,##0</c:formatCode>
                <c:ptCount val="13"/>
                <c:pt idx="0">
                  <c:v>1650.2740759169224</c:v>
                </c:pt>
                <c:pt idx="1">
                  <c:v>1799.345977694562</c:v>
                </c:pt>
                <c:pt idx="2">
                  <c:v>1897.485054604866</c:v>
                </c:pt>
                <c:pt idx="3">
                  <c:v>1772.3539780243295</c:v>
                </c:pt>
                <c:pt idx="4">
                  <c:v>1714.9538041981577</c:v>
                </c:pt>
                <c:pt idx="5">
                  <c:v>1622.5459849452591</c:v>
                </c:pt>
                <c:pt idx="6">
                  <c:v>1696.5556617523578</c:v>
                </c:pt>
                <c:pt idx="7">
                  <c:v>1820.9136082215659</c:v>
                </c:pt>
                <c:pt idx="8">
                  <c:v>1834.8591737453269</c:v>
                </c:pt>
                <c:pt idx="9">
                  <c:v>1650.1894774847046</c:v>
                </c:pt>
                <c:pt idx="10">
                  <c:v>1814.8382588521936</c:v>
                </c:pt>
                <c:pt idx="11">
                  <c:v>2288.7008215520523</c:v>
                </c:pt>
                <c:pt idx="12">
                  <c:v>2683.3284796753874</c:v>
                </c:pt>
              </c:numCache>
            </c:numRef>
          </c:val>
          <c:smooth val="0"/>
          <c:extLst>
            <c:ext xmlns:c16="http://schemas.microsoft.com/office/drawing/2014/chart" uri="{C3380CC4-5D6E-409C-BE32-E72D297353CC}">
              <c16:uniqueId val="{00000002-5E60-46CD-8597-64EB6BB9D0A6}"/>
            </c:ext>
          </c:extLst>
        </c:ser>
        <c:ser>
          <c:idx val="6"/>
          <c:order val="6"/>
          <c:tx>
            <c:v>Dépenses brunes totales</c:v>
          </c:tx>
          <c:spPr>
            <a:ln w="28575" cap="rnd">
              <a:solidFill>
                <a:schemeClr val="accent2">
                  <a:lumMod val="50000"/>
                </a:schemeClr>
              </a:solidFill>
              <a:round/>
            </a:ln>
            <a:effectLst/>
          </c:spPr>
          <c:marker>
            <c:symbol val="circle"/>
            <c:size val="5"/>
            <c:spPr>
              <a:solidFill>
                <a:srgbClr val="7E350E"/>
              </a:solidFill>
              <a:ln w="9525">
                <a:solidFill>
                  <a:schemeClr val="accent2">
                    <a:lumMod val="50000"/>
                  </a:schemeClr>
                </a:solidFill>
                <a:prstDash val="solid"/>
              </a:ln>
              <a:effectLst/>
            </c:spPr>
          </c:marker>
          <c:cat>
            <c:numRef>
              <c:f>Synthèse!$E$4:$Q$4</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Synthèse!$E$154:$Q$154</c:f>
              <c:numCache>
                <c:formatCode>General</c:formatCode>
                <c:ptCount val="13"/>
                <c:pt idx="0">
                  <c:v>7849.1798537112727</c:v>
                </c:pt>
                <c:pt idx="1">
                  <c:v>8237.4231302339085</c:v>
                </c:pt>
                <c:pt idx="2">
                  <c:v>8802.2086612493604</c:v>
                </c:pt>
                <c:pt idx="3">
                  <c:v>7932.6511512638926</c:v>
                </c:pt>
                <c:pt idx="4">
                  <c:v>7531.1401659087724</c:v>
                </c:pt>
                <c:pt idx="5">
                  <c:v>7220.638885214601</c:v>
                </c:pt>
                <c:pt idx="6">
                  <c:v>7386.9607461339256</c:v>
                </c:pt>
                <c:pt idx="7">
                  <c:v>7911.4511194567967</c:v>
                </c:pt>
                <c:pt idx="8">
                  <c:v>8278.887537265311</c:v>
                </c:pt>
                <c:pt idx="9">
                  <c:v>6656.4272583109705</c:v>
                </c:pt>
                <c:pt idx="10">
                  <c:v>7135.8052643000865</c:v>
                </c:pt>
                <c:pt idx="11">
                  <c:v>7620.4908151381005</c:v>
                </c:pt>
                <c:pt idx="12">
                  <c:v>8003.6628490142375</c:v>
                </c:pt>
              </c:numCache>
            </c:numRef>
          </c:val>
          <c:smooth val="0"/>
          <c:extLst>
            <c:ext xmlns:c16="http://schemas.microsoft.com/office/drawing/2014/chart" uri="{C3380CC4-5D6E-409C-BE32-E72D297353CC}">
              <c16:uniqueId val="{00000003-5E60-46CD-8597-64EB6BB9D0A6}"/>
            </c:ext>
          </c:extLst>
        </c:ser>
        <c:dLbls>
          <c:showLegendKey val="0"/>
          <c:showVal val="0"/>
          <c:showCatName val="0"/>
          <c:showSerName val="0"/>
          <c:showPercent val="0"/>
          <c:showBubbleSize val="0"/>
        </c:dLbls>
        <c:marker val="1"/>
        <c:smooth val="0"/>
        <c:axId val="944933727"/>
        <c:axId val="944939487"/>
        <c:extLst>
          <c:ext xmlns:c15="http://schemas.microsoft.com/office/drawing/2012/chart" uri="{02D57815-91ED-43cb-92C2-25804820EDAC}">
            <c15:filteredLineSeries>
              <c15:ser>
                <c:idx val="4"/>
                <c:order val="3"/>
                <c:tx>
                  <c:strRef>
                    <c:extLst>
                      <c:ext uri="{02D57815-91ED-43cb-92C2-25804820EDAC}">
                        <c15:formulaRef>
                          <c15:sqref>Synthèse!$C$4</c15:sqref>
                        </c15:formulaRef>
                      </c:ext>
                    </c:extLst>
                    <c:strCache>
                      <c:ptCount val="1"/>
                      <c:pt idx="0">
                        <c:v>Dépenses brunes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extLst>
                      <c:ex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c:ext uri="{02D57815-91ED-43cb-92C2-25804820EDAC}">
                        <c15:formulaRef>
                          <c15:sqref>Synthèse!$E$14:$Q$14</c15:sqref>
                        </c15:formulaRef>
                      </c:ext>
                    </c:extLst>
                    <c:numCache>
                      <c:formatCode>General</c:formatCode>
                      <c:ptCount val="13"/>
                      <c:pt idx="0">
                        <c:v>6703.2732204123695</c:v>
                      </c:pt>
                      <c:pt idx="1">
                        <c:v>7084.3849120119658</c:v>
                      </c:pt>
                      <c:pt idx="2">
                        <c:v>7609.2150409332298</c:v>
                      </c:pt>
                      <c:pt idx="3">
                        <c:v>6872.7865270730645</c:v>
                      </c:pt>
                      <c:pt idx="4">
                        <c:v>6518.0286542285266</c:v>
                      </c:pt>
                      <c:pt idx="5">
                        <c:v>6251.9813408728696</c:v>
                      </c:pt>
                      <c:pt idx="6">
                        <c:v>6480.5610023278186</c:v>
                      </c:pt>
                      <c:pt idx="7">
                        <c:v>6973.3501845551436</c:v>
                      </c:pt>
                      <c:pt idx="8">
                        <c:v>7356.4068270627058</c:v>
                      </c:pt>
                      <c:pt idx="9">
                        <c:v>6345.255908555413</c:v>
                      </c:pt>
                      <c:pt idx="10">
                        <c:v>6790.5243644145994</c:v>
                      </c:pt>
                      <c:pt idx="11">
                        <c:v>7386.7998314549304</c:v>
                      </c:pt>
                      <c:pt idx="12">
                        <c:v>8003.6628490142375</c:v>
                      </c:pt>
                    </c:numCache>
                  </c:numRef>
                </c:val>
                <c:smooth val="0"/>
                <c:extLst>
                  <c:ext xmlns:c16="http://schemas.microsoft.com/office/drawing/2014/chart" uri="{C3380CC4-5D6E-409C-BE32-E72D297353CC}">
                    <c16:uniqueId val="{00000004-5E60-46CD-8597-64EB6BB9D0A6}"/>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7E350E"/>
                    </a:solidFill>
                    <a:prstDash val="solid"/>
                    <a:round/>
                  </a:ln>
                  <a:effectLst/>
                </c:spPr>
                <c:marker>
                  <c:symbol val="circle"/>
                  <c:size val="5"/>
                  <c:spPr>
                    <a:solidFill>
                      <a:schemeClr val="accent3"/>
                    </a:solidFill>
                    <a:ln w="9525">
                      <a:solidFill>
                        <a:schemeClr val="accent3"/>
                      </a:solidFill>
                    </a:ln>
                    <a:effectLst/>
                  </c:spPr>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5-5E60-46CD-8597-64EB6BB9D0A6}"/>
                  </c:ext>
                </c:extLst>
              </c15:ser>
            </c15:filteredLineSeries>
            <c15:filteredLineSeries>
              <c15:ser>
                <c:idx val="3"/>
                <c:order val="5"/>
                <c:tx>
                  <c:strRef>
                    <c:extLst xmlns:c15="http://schemas.microsoft.com/office/drawing/2012/chart">
                      <c:ext xmlns:c15="http://schemas.microsoft.com/office/drawing/2012/chart" uri="{02D57815-91ED-43cb-92C2-25804820EDAC}">
                        <c15:formulaRef>
                          <c15:sqref>{"Dépenses vertes"}</c15:sqref>
                        </c15:formulaRef>
                      </c:ext>
                    </c:extLst>
                    <c:strCache>
                      <c:ptCount val="1"/>
                      <c:pt idx="0">
                        <c:v>Dépenses vertes</c:v>
                      </c:pt>
                    </c:strCache>
                  </c:strRef>
                </c:tx>
                <c:spPr>
                  <a:ln w="28575" cap="rnd">
                    <a:solidFill>
                      <a:srgbClr val="196B24"/>
                    </a:solidFill>
                    <a:prstDash val="solid"/>
                    <a:round/>
                  </a:ln>
                  <a:effectLst/>
                </c:spPr>
                <c:marker>
                  <c:symbol val="circle"/>
                  <c:size val="5"/>
                  <c:spPr>
                    <a:solidFill>
                      <a:srgbClr val="196B24"/>
                    </a:solidFill>
                    <a:ln w="9525">
                      <a:solidFill>
                        <a:srgbClr val="196B24"/>
                      </a:solidFill>
                      <a:prstDash val="solid"/>
                    </a:ln>
                    <a:effectLst/>
                  </c:spPr>
                </c:marker>
                <c:cat>
                  <c:numRef>
                    <c:extLst xmlns:c15="http://schemas.microsoft.com/office/drawing/2012/chart">
                      <c:ext xmlns:c15="http://schemas.microsoft.com/office/drawing/2012/chart" uri="{02D57815-91ED-43cb-92C2-25804820EDAC}">
                        <c15:formulaRef>
                          <c15:sqref>Synthèse!$E$4:$Q$4</c15:sqref>
                        </c15:formulaRef>
                      </c:ext>
                    </c:extLst>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extLst xmlns:c15="http://schemas.microsoft.com/office/drawing/2012/chart">
                      <c:ext xmlns:c15="http://schemas.microsoft.com/office/drawing/2012/chart" uri="{02D57815-91ED-43cb-92C2-25804820EDAC}">
                        <c15:formulaRef>
                          <c15:sqref>Synthèse!$E$201:$Q$201</c15:sqref>
                        </c15:formulaRef>
                      </c:ext>
                    </c:extLst>
                    <c:numCache>
                      <c:formatCode>0.00</c:formatCode>
                      <c:ptCount val="13"/>
                      <c:pt idx="6">
                        <c:v>5069.7353220729265</c:v>
                      </c:pt>
                      <c:pt idx="7">
                        <c:v>5775.7375041012074</c:v>
                      </c:pt>
                      <c:pt idx="8">
                        <c:v>5893.7752711261801</c:v>
                      </c:pt>
                      <c:pt idx="9">
                        <c:v>6848.2656368521593</c:v>
                      </c:pt>
                      <c:pt idx="10">
                        <c:v>6332.4799622700566</c:v>
                      </c:pt>
                      <c:pt idx="11">
                        <c:v>7065.4165727502368</c:v>
                      </c:pt>
                      <c:pt idx="12">
                        <c:v>7587.9096452285439</c:v>
                      </c:pt>
                    </c:numCache>
                  </c:numRef>
                </c:val>
                <c:smooth val="0"/>
                <c:extLst xmlns:c15="http://schemas.microsoft.com/office/drawing/2012/chart">
                  <c:ext xmlns:c16="http://schemas.microsoft.com/office/drawing/2014/chart" uri="{C3380CC4-5D6E-409C-BE32-E72D297353CC}">
                    <c16:uniqueId val="{00000006-5E60-46CD-8597-64EB6BB9D0A6}"/>
                  </c:ext>
                </c:extLst>
              </c15:ser>
            </c15:filteredLineSeries>
          </c:ext>
        </c:extLst>
      </c:lineChart>
      <c:catAx>
        <c:axId val="944933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9487"/>
        <c:crosses val="autoZero"/>
        <c:auto val="1"/>
        <c:lblAlgn val="ctr"/>
        <c:lblOffset val="100"/>
        <c:noMultiLvlLbl val="0"/>
      </c:catAx>
      <c:valAx>
        <c:axId val="944939487"/>
        <c:scaling>
          <c:orientation val="minMax"/>
          <c:max val="9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449337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_xlchart.v1.1</cx:f>
      </cx:strDim>
      <cx:numDim type="val">
        <cx:f dir="row">_xlchart.v1.2</cx:f>
      </cx:numDim>
    </cx:data>
  </cx:chartData>
  <cx:chart>
    <cx:title pos="t" align="ctr" overlay="0">
      <cx:tx>
        <cx:txData>
          <cx:v>Elec 2011 -2023</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Elec 2011 -2023</a:t>
          </a:r>
        </a:p>
      </cx:txPr>
    </cx:title>
    <cx:plotArea>
      <cx:plotAreaRegion>
        <cx:series layoutId="waterfall" uniqueId="{EE45261A-9493-4739-8C5A-8A98F5257A7C}" formatIdx="0">
          <cx:tx>
            <cx:txData>
              <cx:f>_xlchart.v1.0</cx:f>
              <cx:v>Elec</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_xlchart.v1.4</cx:f>
      </cx:strDim>
      <cx:numDim type="val">
        <cx:f dir="row">_xlchart.v1.5</cx:f>
      </cx:numDim>
    </cx:data>
  </cx:chartData>
  <cx:chart>
    <cx:title pos="t" align="ctr" overlay="0">
      <cx:tx>
        <cx:txData>
          <cx:v>Elec 2017-2023</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Elec 2017-2023</a:t>
          </a:r>
        </a:p>
      </cx:txPr>
    </cx:title>
    <cx:plotArea>
      <cx:plotAreaRegion>
        <cx:series layoutId="waterfall" uniqueId="{4B747F06-4B04-4626-9E4B-2B48DE2B66D9}">
          <cx:tx>
            <cx:txData>
              <cx:f>_xlchart.v1.3</cx:f>
              <cx:v>Elec</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 dir="row">_xlchart.v1.19</cx:f>
      </cx:strDim>
      <cx:numDim type="val">
        <cx:f dir="row">_xlchart.v1.20</cx:f>
      </cx:numDim>
    </cx:data>
  </cx:chartData>
  <cx:chart>
    <cx:title pos="t" align="ctr" overlay="0">
      <cx:tx>
        <cx:txData>
          <cx:v>Gaz 2011-2022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Gaz 2011-2022</a:t>
          </a:r>
        </a:p>
      </cx:txPr>
    </cx:title>
    <cx:plotArea>
      <cx:plotAreaRegion>
        <cx:series layoutId="waterfall" uniqueId="{19B1AA67-9548-4D89-8F16-F90D2942FA65}">
          <cx:tx>
            <cx:txData>
              <cx:f>_xlchart.v1.18</cx:f>
              <cx:v>Gaz</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_xlchart.v1.22</cx:f>
      </cx:strDim>
      <cx:numDim type="val">
        <cx:f dir="row">_xlchart.v1.23</cx:f>
      </cx:numDim>
    </cx:data>
  </cx:chartData>
  <cx:chart>
    <cx:title pos="t" align="ctr" overlay="0">
      <cx:tx>
        <cx:txData>
          <cx:v>Gaz 2017-2022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Gaz 2017-2022</a:t>
          </a:r>
        </a:p>
      </cx:txPr>
    </cx:title>
    <cx:plotArea>
      <cx:plotAreaRegion>
        <cx:series layoutId="waterfall" uniqueId="{20BF7CB5-D157-4186-A2FB-7599403FB8A6}">
          <cx:tx>
            <cx:txData>
              <cx:f>_xlchart.v1.21</cx:f>
              <cx:v>Gaz</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 dir="row">_xlchart.v1.7</cx:f>
      </cx:strDim>
      <cx:numDim type="val">
        <cx:f dir="row">_xlchart.v1.8</cx:f>
      </cx:numDim>
    </cx:data>
  </cx:chartData>
  <cx:chart>
    <cx:title pos="t" align="ctr" overlay="0">
      <cx:tx>
        <cx:txData>
          <cx:v>Gazole 2011-2022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Gazole 2011-2022</a:t>
          </a:r>
        </a:p>
      </cx:txPr>
    </cx:title>
    <cx:plotArea>
      <cx:plotAreaRegion>
        <cx:series layoutId="waterfall" uniqueId="{7A8C020C-F392-4FE0-9503-8F4859168B76}">
          <cx:tx>
            <cx:txData>
              <cx:f>_xlchart.v1.6</cx:f>
              <cx:v>Gazole</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 dir="row">_xlchart.v1.10</cx:f>
      </cx:strDim>
      <cx:numDim type="val">
        <cx:f dir="row">_xlchart.v1.11</cx:f>
      </cx:numDim>
    </cx:data>
  </cx:chartData>
  <cx:chart>
    <cx:title pos="t" align="ctr" overlay="0">
      <cx:tx>
        <cx:txData>
          <cx:v>Gazole 2017-2022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Gazole 2017-2022</a:t>
          </a:r>
        </a:p>
      </cx:txPr>
    </cx:title>
    <cx:plotArea>
      <cx:plotAreaRegion>
        <cx:series layoutId="waterfall" uniqueId="{C245910C-FAD1-4520-925E-CDC6C84D4CF4}">
          <cx:tx>
            <cx:txData>
              <cx:f>_xlchart.v1.9</cx:f>
              <cx:v>Gazole</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 dir="row">_xlchart.v1.16</cx:f>
      </cx:strDim>
      <cx:numDim type="val">
        <cx:f dir="row">_xlchart.v1.17</cx:f>
      </cx:numDim>
    </cx:data>
  </cx:chartData>
  <cx:chart>
    <cx:title pos="t" align="ctr" overlay="0">
      <cx:tx>
        <cx:txData>
          <cx:v>Essence 2011-2022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Essence 2011-2022</a:t>
          </a:r>
        </a:p>
      </cx:txPr>
    </cx:title>
    <cx:plotArea>
      <cx:plotAreaRegion>
        <cx:series layoutId="waterfall" uniqueId="{440CBCA6-38CB-4918-869C-3C0AFF05644E}">
          <cx:tx>
            <cx:txData>
              <cx:f>_xlchart.v1.15</cx:f>
              <cx:v>Essence</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 dir="row">_xlchart.v1.13</cx:f>
      </cx:strDim>
      <cx:numDim type="val">
        <cx:f dir="row">_xlchart.v1.14</cx:f>
      </cx:numDim>
    </cx:data>
  </cx:chartData>
  <cx:chart>
    <cx:title pos="t" align="ctr" overlay="0">
      <cx:tx>
        <cx:txData>
          <cx:v>Essence 2017-2022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Essence 2017-2022</a:t>
          </a:r>
        </a:p>
      </cx:txPr>
    </cx:title>
    <cx:plotArea>
      <cx:plotAreaRegion>
        <cx:series layoutId="waterfall" uniqueId="{A8A8A11E-C210-49B3-AAC8-95DE3653FF9F}">
          <cx:tx>
            <cx:txData>
              <cx:f>_xlchart.v1.12</cx:f>
              <cx:v>Essence</cx:v>
            </cx:txData>
          </cx:tx>
          <cx:dataLabels pos="outEnd">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visibility seriesName="0" categoryName="0" value="1"/>
          </cx:dataLabels>
          <cx:dataId val="0"/>
          <cx:layoutPr>
            <cx:subtotals>
              <cx:idx val="4"/>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 dir="row">_xlchart.v1.25</cx:f>
      </cx:strDim>
      <cx:numDim type="val">
        <cx:f dir="row">_xlchart.v1.26</cx:f>
      </cx:numDim>
    </cx:data>
  </cx:chartData>
  <cx:chart>
    <cx:title pos="t" align="ctr" overlay="0">
      <cx:tx>
        <cx:txData>
          <cx:v>Elec 2017-2022</cx:v>
        </cx:txData>
      </cx:tx>
      <cx:txPr>
        <a:bodyPr spcFirstLastPara="1" vertOverflow="ellipsis" horzOverflow="overflow" wrap="square" lIns="0" tIns="0" rIns="0" bIns="0" anchor="ctr" anchorCtr="1"/>
        <a:lstStyle/>
        <a:p>
          <a:pPr algn="ctr" rtl="0">
            <a:defRPr/>
          </a:pPr>
          <a:r>
            <a:rPr lang="fr-FR" sz="1400" b="0" i="0" u="none" strike="noStrike" baseline="0">
              <a:solidFill>
                <a:sysClr val="windowText" lastClr="000000">
                  <a:lumMod val="65000"/>
                  <a:lumOff val="35000"/>
                </a:sysClr>
              </a:solidFill>
              <a:latin typeface="Aptos Narrow" panose="02110004020202020204"/>
            </a:rPr>
            <a:t>Elec 2017-2022</a:t>
          </a:r>
        </a:p>
      </cx:txPr>
    </cx:title>
    <cx:plotArea>
      <cx:plotAreaRegion>
        <cx:series layoutId="waterfall" uniqueId="{20E0BEB2-4117-4545-AD4C-002EAFAA23A2}">
          <cx:tx>
            <cx:txData>
              <cx:f>_xlchart.v1.24</cx:f>
              <cx:v>Eclairage public</cx:v>
            </cx:txData>
          </cx:tx>
          <cx:dataId val="0"/>
          <cx:layoutPr>
            <cx:subtotals>
              <cx:idx val="5"/>
            </cx:subtotals>
          </cx:layoutPr>
        </cx:series>
      </cx:plotAreaRegion>
      <cx:axis id="0">
        <cx:catScaling gapWidth="0.5"/>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axis id="1">
        <cx:valScaling/>
        <cx:majorGridlines/>
        <cx:tickLabels/>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axis>
    </cx:plotArea>
    <cx:legend pos="t" align="ctr" overlay="0">
      <cx:txPr>
        <a:bodyPr vertOverflow="overflow" horzOverflow="overflow" wrap="square" lIns="0" tIns="0" rIns="0" bIns="0"/>
        <a:lstStyle/>
        <a:p>
          <a:pPr algn="ctr" rtl="0">
            <a:defRPr sz="1200" b="0" i="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a:p>
      </cx:txPr>
    </cx:legend>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microsoft.com/office/2014/relationships/chartEx" Target="../charts/chartEx8.xml"/><Relationship Id="rId3" Type="http://schemas.microsoft.com/office/2014/relationships/chartEx" Target="../charts/chartEx3.xml"/><Relationship Id="rId7" Type="http://schemas.microsoft.com/office/2014/relationships/chartEx" Target="../charts/chartEx7.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6.xml"/><Relationship Id="rId5" Type="http://schemas.microsoft.com/office/2014/relationships/chartEx" Target="../charts/chartEx5.xml"/><Relationship Id="rId10" Type="http://schemas.microsoft.com/office/2014/relationships/chartEx" Target="../charts/chartEx9.xml"/><Relationship Id="rId4" Type="http://schemas.microsoft.com/office/2014/relationships/chartEx" Target="../charts/chartEx4.xml"/><Relationship Id="rId9"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27</xdr:col>
      <xdr:colOff>765174</xdr:colOff>
      <xdr:row>97</xdr:row>
      <xdr:rowOff>142874</xdr:rowOff>
    </xdr:from>
    <xdr:to>
      <xdr:col>47</xdr:col>
      <xdr:colOff>50800</xdr:colOff>
      <xdr:row>134</xdr:row>
      <xdr:rowOff>68262</xdr:rowOff>
    </xdr:to>
    <xdr:graphicFrame macro="">
      <xdr:nvGraphicFramePr>
        <xdr:cNvPr id="3" name="Graphique 2">
          <a:extLst>
            <a:ext uri="{FF2B5EF4-FFF2-40B4-BE49-F238E27FC236}">
              <a16:creationId xmlns:a16="http://schemas.microsoft.com/office/drawing/2014/main" id="{3F54D3CD-2457-9625-5F5D-E47CF665A7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476250</xdr:colOff>
      <xdr:row>139</xdr:row>
      <xdr:rowOff>0</xdr:rowOff>
    </xdr:from>
    <xdr:to>
      <xdr:col>48</xdr:col>
      <xdr:colOff>519339</xdr:colOff>
      <xdr:row>166</xdr:row>
      <xdr:rowOff>186171</xdr:rowOff>
    </xdr:to>
    <xdr:graphicFrame macro="">
      <xdr:nvGraphicFramePr>
        <xdr:cNvPr id="2" name="Graphique 1">
          <a:extLst>
            <a:ext uri="{FF2B5EF4-FFF2-40B4-BE49-F238E27FC236}">
              <a16:creationId xmlns:a16="http://schemas.microsoft.com/office/drawing/2014/main" id="{42E02E58-24A5-59FE-C3C1-82912F71C62B}"/>
            </a:ext>
            <a:ext uri="{147F2762-F138-4A5C-976F-8EAC2B608ADB}">
              <a16:predDERef xmlns:a16="http://schemas.microsoft.com/office/drawing/2014/main" pred="{F9E7182F-A5F9-88D0-165C-05CB3EAE8A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131762</xdr:colOff>
      <xdr:row>29</xdr:row>
      <xdr:rowOff>126999</xdr:rowOff>
    </xdr:from>
    <xdr:to>
      <xdr:col>31</xdr:col>
      <xdr:colOff>335643</xdr:colOff>
      <xdr:row>97</xdr:row>
      <xdr:rowOff>172357</xdr:rowOff>
    </xdr:to>
    <xdr:graphicFrame macro="">
      <xdr:nvGraphicFramePr>
        <xdr:cNvPr id="4" name="Graphique 3">
          <a:extLst>
            <a:ext uri="{FF2B5EF4-FFF2-40B4-BE49-F238E27FC236}">
              <a16:creationId xmlns:a16="http://schemas.microsoft.com/office/drawing/2014/main" id="{B648356B-6F62-4E4C-8269-2953FEA0B2B3}"/>
            </a:ext>
            <a:ext uri="{147F2762-F138-4A5C-976F-8EAC2B608ADB}">
              <a16:predDERef xmlns:a16="http://schemas.microsoft.com/office/drawing/2014/main" pred="{42E02E58-24A5-59FE-C3C1-82912F71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558800</xdr:colOff>
      <xdr:row>173</xdr:row>
      <xdr:rowOff>25400</xdr:rowOff>
    </xdr:from>
    <xdr:to>
      <xdr:col>34</xdr:col>
      <xdr:colOff>635000</xdr:colOff>
      <xdr:row>201</xdr:row>
      <xdr:rowOff>50800</xdr:rowOff>
    </xdr:to>
    <xdr:graphicFrame macro="">
      <xdr:nvGraphicFramePr>
        <xdr:cNvPr id="6" name="Graphique 5">
          <a:extLst>
            <a:ext uri="{FF2B5EF4-FFF2-40B4-BE49-F238E27FC236}">
              <a16:creationId xmlns:a16="http://schemas.microsoft.com/office/drawing/2014/main" id="{0C29F86A-AC72-4490-AD22-5EEFCF5841D4}"/>
            </a:ext>
            <a:ext uri="{147F2762-F138-4A5C-976F-8EAC2B608ADB}">
              <a16:predDERef xmlns:a16="http://schemas.microsoft.com/office/drawing/2014/main" pred="{F9E7182F-A5F9-88D0-165C-05CB3EAE8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381000</xdr:colOff>
      <xdr:row>138</xdr:row>
      <xdr:rowOff>127000</xdr:rowOff>
    </xdr:from>
    <xdr:to>
      <xdr:col>34</xdr:col>
      <xdr:colOff>90715</xdr:colOff>
      <xdr:row>166</xdr:row>
      <xdr:rowOff>134009</xdr:rowOff>
    </xdr:to>
    <xdr:graphicFrame macro="">
      <xdr:nvGraphicFramePr>
        <xdr:cNvPr id="8" name="Graphique 7">
          <a:extLst>
            <a:ext uri="{FF2B5EF4-FFF2-40B4-BE49-F238E27FC236}">
              <a16:creationId xmlns:a16="http://schemas.microsoft.com/office/drawing/2014/main" id="{E53D6659-DD06-45B2-896A-2F16FD04DB9A}"/>
            </a:ext>
            <a:ext uri="{147F2762-F138-4A5C-976F-8EAC2B608ADB}">
              <a16:predDERef xmlns:a16="http://schemas.microsoft.com/office/drawing/2014/main" pred="{F9E7182F-A5F9-88D0-165C-05CB3EAE8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484909</xdr:colOff>
      <xdr:row>210</xdr:row>
      <xdr:rowOff>9269</xdr:rowOff>
    </xdr:from>
    <xdr:to>
      <xdr:col>29</xdr:col>
      <xdr:colOff>294409</xdr:colOff>
      <xdr:row>241</xdr:row>
      <xdr:rowOff>34637</xdr:rowOff>
    </xdr:to>
    <xdr:graphicFrame macro="">
      <xdr:nvGraphicFramePr>
        <xdr:cNvPr id="9" name="Graphique 8">
          <a:extLst>
            <a:ext uri="{FF2B5EF4-FFF2-40B4-BE49-F238E27FC236}">
              <a16:creationId xmlns:a16="http://schemas.microsoft.com/office/drawing/2014/main" id="{276E5536-7972-F039-3C54-5BE6117A93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202045</xdr:colOff>
      <xdr:row>228</xdr:row>
      <xdr:rowOff>19626</xdr:rowOff>
    </xdr:from>
    <xdr:to>
      <xdr:col>11</xdr:col>
      <xdr:colOff>877456</xdr:colOff>
      <xdr:row>256</xdr:row>
      <xdr:rowOff>80818</xdr:rowOff>
    </xdr:to>
    <xdr:graphicFrame macro="">
      <xdr:nvGraphicFramePr>
        <xdr:cNvPr id="12" name="Graphique 11">
          <a:extLst>
            <a:ext uri="{FF2B5EF4-FFF2-40B4-BE49-F238E27FC236}">
              <a16:creationId xmlns:a16="http://schemas.microsoft.com/office/drawing/2014/main" id="{1534741E-B682-7CD9-B669-44C3EA17B9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1039091</xdr:colOff>
      <xdr:row>227</xdr:row>
      <xdr:rowOff>100443</xdr:rowOff>
    </xdr:from>
    <xdr:to>
      <xdr:col>17</xdr:col>
      <xdr:colOff>427182</xdr:colOff>
      <xdr:row>256</xdr:row>
      <xdr:rowOff>184726</xdr:rowOff>
    </xdr:to>
    <xdr:graphicFrame macro="">
      <xdr:nvGraphicFramePr>
        <xdr:cNvPr id="10" name="Graphique 9">
          <a:extLst>
            <a:ext uri="{FF2B5EF4-FFF2-40B4-BE49-F238E27FC236}">
              <a16:creationId xmlns:a16="http://schemas.microsoft.com/office/drawing/2014/main" id="{512BDBAF-118A-37CD-99F0-33C63E1B50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682625</xdr:colOff>
      <xdr:row>173</xdr:row>
      <xdr:rowOff>95250</xdr:rowOff>
    </xdr:from>
    <xdr:to>
      <xdr:col>49</xdr:col>
      <xdr:colOff>758825</xdr:colOff>
      <xdr:row>201</xdr:row>
      <xdr:rowOff>120650</xdr:rowOff>
    </xdr:to>
    <xdr:graphicFrame macro="">
      <xdr:nvGraphicFramePr>
        <xdr:cNvPr id="11" name="Graphique 10">
          <a:extLst>
            <a:ext uri="{FF2B5EF4-FFF2-40B4-BE49-F238E27FC236}">
              <a16:creationId xmlns:a16="http://schemas.microsoft.com/office/drawing/2014/main" id="{9B851D67-CF1F-4A98-8E19-94459EFF39C5}"/>
            </a:ext>
            <a:ext uri="{147F2762-F138-4A5C-976F-8EAC2B608ADB}">
              <a16:predDERef xmlns:a16="http://schemas.microsoft.com/office/drawing/2014/main" pred="{F9E7182F-A5F9-88D0-165C-05CB3EAE8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29883</xdr:colOff>
      <xdr:row>6</xdr:row>
      <xdr:rowOff>74673</xdr:rowOff>
    </xdr:from>
    <xdr:to>
      <xdr:col>13</xdr:col>
      <xdr:colOff>640424</xdr:colOff>
      <xdr:row>28</xdr:row>
      <xdr:rowOff>27651</xdr:rowOff>
    </xdr:to>
    <xdr:pic>
      <xdr:nvPicPr>
        <xdr:cNvPr id="2" name="Image 1">
          <a:extLst>
            <a:ext uri="{FF2B5EF4-FFF2-40B4-BE49-F238E27FC236}">
              <a16:creationId xmlns:a16="http://schemas.microsoft.com/office/drawing/2014/main" id="{5ADD046E-5EFF-3417-2707-333BBE595B38}"/>
            </a:ext>
          </a:extLst>
        </xdr:cNvPr>
        <xdr:cNvPicPr>
          <a:picLocks noChangeAspect="1"/>
        </xdr:cNvPicPr>
      </xdr:nvPicPr>
      <xdr:blipFill>
        <a:blip xmlns:r="http://schemas.openxmlformats.org/officeDocument/2006/relationships" r:embed="rId1"/>
        <a:stretch>
          <a:fillRect/>
        </a:stretch>
      </xdr:blipFill>
      <xdr:spPr>
        <a:xfrm>
          <a:off x="2383118" y="1277438"/>
          <a:ext cx="10617072" cy="40618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30443</xdr:colOff>
      <xdr:row>6</xdr:row>
      <xdr:rowOff>78441</xdr:rowOff>
    </xdr:from>
    <xdr:to>
      <xdr:col>16</xdr:col>
      <xdr:colOff>103895</xdr:colOff>
      <xdr:row>8</xdr:row>
      <xdr:rowOff>30444</xdr:rowOff>
    </xdr:to>
    <xdr:pic>
      <xdr:nvPicPr>
        <xdr:cNvPr id="2" name="Image 1">
          <a:extLst>
            <a:ext uri="{FF2B5EF4-FFF2-40B4-BE49-F238E27FC236}">
              <a16:creationId xmlns:a16="http://schemas.microsoft.com/office/drawing/2014/main" id="{AA886170-CB15-A51A-3B74-3C90AE88A7CB}"/>
            </a:ext>
          </a:extLst>
        </xdr:cNvPr>
        <xdr:cNvPicPr>
          <a:picLocks noChangeAspect="1"/>
        </xdr:cNvPicPr>
      </xdr:nvPicPr>
      <xdr:blipFill rotWithShape="1">
        <a:blip xmlns:r="http://schemas.openxmlformats.org/officeDocument/2006/relationships" r:embed="rId1"/>
        <a:srcRect b="22176"/>
        <a:stretch/>
      </xdr:blipFill>
      <xdr:spPr>
        <a:xfrm>
          <a:off x="3493061" y="1423147"/>
          <a:ext cx="11968255" cy="313765"/>
        </a:xfrm>
        <a:prstGeom prst="rect">
          <a:avLst/>
        </a:prstGeom>
      </xdr:spPr>
    </xdr:pic>
    <xdr:clientData/>
  </xdr:twoCellAnchor>
  <xdr:twoCellAnchor editAs="oneCell">
    <xdr:from>
      <xdr:col>12</xdr:col>
      <xdr:colOff>574676</xdr:colOff>
      <xdr:row>94</xdr:row>
      <xdr:rowOff>80903</xdr:rowOff>
    </xdr:from>
    <xdr:to>
      <xdr:col>20</xdr:col>
      <xdr:colOff>132897</xdr:colOff>
      <xdr:row>134</xdr:row>
      <xdr:rowOff>202293</xdr:rowOff>
    </xdr:to>
    <xdr:pic>
      <xdr:nvPicPr>
        <xdr:cNvPr id="3" name="Image 2">
          <a:extLst>
            <a:ext uri="{FF2B5EF4-FFF2-40B4-BE49-F238E27FC236}">
              <a16:creationId xmlns:a16="http://schemas.microsoft.com/office/drawing/2014/main" id="{789E28F3-8509-8ECB-7378-32D26759E84F}"/>
            </a:ext>
          </a:extLst>
        </xdr:cNvPr>
        <xdr:cNvPicPr>
          <a:picLocks noChangeAspect="1"/>
        </xdr:cNvPicPr>
      </xdr:nvPicPr>
      <xdr:blipFill>
        <a:blip xmlns:r="http://schemas.openxmlformats.org/officeDocument/2006/relationships" r:embed="rId2"/>
        <a:stretch>
          <a:fillRect/>
        </a:stretch>
      </xdr:blipFill>
      <xdr:spPr>
        <a:xfrm>
          <a:off x="12358462" y="20954260"/>
          <a:ext cx="7001328" cy="99865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23091</xdr:colOff>
      <xdr:row>6</xdr:row>
      <xdr:rowOff>92363</xdr:rowOff>
    </xdr:from>
    <xdr:to>
      <xdr:col>14</xdr:col>
      <xdr:colOff>723116</xdr:colOff>
      <xdr:row>13</xdr:row>
      <xdr:rowOff>104889</xdr:rowOff>
    </xdr:to>
    <xdr:pic>
      <xdr:nvPicPr>
        <xdr:cNvPr id="2" name="Image 1">
          <a:extLst>
            <a:ext uri="{FF2B5EF4-FFF2-40B4-BE49-F238E27FC236}">
              <a16:creationId xmlns:a16="http://schemas.microsoft.com/office/drawing/2014/main" id="{46BBE882-7281-1250-0C16-D0F7656C4267}"/>
            </a:ext>
          </a:extLst>
        </xdr:cNvPr>
        <xdr:cNvPicPr>
          <a:picLocks noChangeAspect="1"/>
        </xdr:cNvPicPr>
      </xdr:nvPicPr>
      <xdr:blipFill>
        <a:blip xmlns:r="http://schemas.openxmlformats.org/officeDocument/2006/relationships" r:embed="rId1"/>
        <a:stretch>
          <a:fillRect/>
        </a:stretch>
      </xdr:blipFill>
      <xdr:spPr>
        <a:xfrm>
          <a:off x="1616364" y="1281545"/>
          <a:ext cx="14212454" cy="13171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627290</xdr:colOff>
      <xdr:row>5</xdr:row>
      <xdr:rowOff>65768</xdr:rowOff>
    </xdr:from>
    <xdr:to>
      <xdr:col>14</xdr:col>
      <xdr:colOff>27215</xdr:colOff>
      <xdr:row>14</xdr:row>
      <xdr:rowOff>8618</xdr:rowOff>
    </xdr:to>
    <xdr:pic>
      <xdr:nvPicPr>
        <xdr:cNvPr id="5" name="Image 3">
          <a:extLst>
            <a:ext uri="{FF2B5EF4-FFF2-40B4-BE49-F238E27FC236}">
              <a16:creationId xmlns:a16="http://schemas.microsoft.com/office/drawing/2014/main" id="{8A7FF3A7-3562-2F13-A76B-C91EF5C422BA}"/>
            </a:ext>
          </a:extLst>
        </xdr:cNvPr>
        <xdr:cNvPicPr>
          <a:picLocks noChangeAspect="1"/>
        </xdr:cNvPicPr>
      </xdr:nvPicPr>
      <xdr:blipFill>
        <a:blip xmlns:r="http://schemas.openxmlformats.org/officeDocument/2006/relationships" r:embed="rId1"/>
        <a:stretch>
          <a:fillRect/>
        </a:stretch>
      </xdr:blipFill>
      <xdr:spPr>
        <a:xfrm>
          <a:off x="1389290" y="1045482"/>
          <a:ext cx="11020425" cy="1534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886276</xdr:colOff>
      <xdr:row>6</xdr:row>
      <xdr:rowOff>107668</xdr:rowOff>
    </xdr:from>
    <xdr:to>
      <xdr:col>18</xdr:col>
      <xdr:colOff>256910</xdr:colOff>
      <xdr:row>21</xdr:row>
      <xdr:rowOff>7118</xdr:rowOff>
    </xdr:to>
    <xdr:pic>
      <xdr:nvPicPr>
        <xdr:cNvPr id="2" name="Image 1">
          <a:extLst>
            <a:ext uri="{FF2B5EF4-FFF2-40B4-BE49-F238E27FC236}">
              <a16:creationId xmlns:a16="http://schemas.microsoft.com/office/drawing/2014/main" id="{E59ED057-4CA7-315C-4211-E028DC48E9BC}"/>
            </a:ext>
          </a:extLst>
        </xdr:cNvPr>
        <xdr:cNvPicPr>
          <a:picLocks noChangeAspect="1"/>
        </xdr:cNvPicPr>
      </xdr:nvPicPr>
      <xdr:blipFill>
        <a:blip xmlns:r="http://schemas.openxmlformats.org/officeDocument/2006/relationships" r:embed="rId1"/>
        <a:stretch>
          <a:fillRect/>
        </a:stretch>
      </xdr:blipFill>
      <xdr:spPr>
        <a:xfrm>
          <a:off x="3090633" y="1536418"/>
          <a:ext cx="16787777" cy="2552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46181</xdr:colOff>
      <xdr:row>6</xdr:row>
      <xdr:rowOff>85147</xdr:rowOff>
    </xdr:from>
    <xdr:to>
      <xdr:col>15</xdr:col>
      <xdr:colOff>1255</xdr:colOff>
      <xdr:row>25</xdr:row>
      <xdr:rowOff>158930</xdr:rowOff>
    </xdr:to>
    <xdr:pic>
      <xdr:nvPicPr>
        <xdr:cNvPr id="2" name="Image 1">
          <a:extLst>
            <a:ext uri="{FF2B5EF4-FFF2-40B4-BE49-F238E27FC236}">
              <a16:creationId xmlns:a16="http://schemas.microsoft.com/office/drawing/2014/main" id="{A4D9652C-967B-458B-8583-85A0EA129574}"/>
            </a:ext>
          </a:extLst>
        </xdr:cNvPr>
        <xdr:cNvPicPr>
          <a:picLocks noChangeAspect="1"/>
        </xdr:cNvPicPr>
      </xdr:nvPicPr>
      <xdr:blipFill>
        <a:blip xmlns:r="http://schemas.openxmlformats.org/officeDocument/2006/relationships" r:embed="rId1"/>
        <a:stretch>
          <a:fillRect/>
        </a:stretch>
      </xdr:blipFill>
      <xdr:spPr>
        <a:xfrm>
          <a:off x="1639454" y="1274329"/>
          <a:ext cx="13975315" cy="35804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664442</xdr:colOff>
      <xdr:row>435</xdr:row>
      <xdr:rowOff>156439</xdr:rowOff>
    </xdr:from>
    <xdr:to>
      <xdr:col>14</xdr:col>
      <xdr:colOff>225137</xdr:colOff>
      <xdr:row>465</xdr:row>
      <xdr:rowOff>107084</xdr:rowOff>
    </xdr:to>
    <mc:AlternateContent xmlns:mc="http://schemas.openxmlformats.org/markup-compatibility/2006">
      <mc:Choice xmlns:cx1="http://schemas.microsoft.com/office/drawing/2015/9/8/chartex" Requires="cx1">
        <xdr:graphicFrame macro="">
          <xdr:nvGraphicFramePr>
            <xdr:cNvPr id="6" name="Graphique 5">
              <a:extLst>
                <a:ext uri="{FF2B5EF4-FFF2-40B4-BE49-F238E27FC236}">
                  <a16:creationId xmlns:a16="http://schemas.microsoft.com/office/drawing/2014/main" id="{FA627FFD-EB65-525F-5B25-6D2110A5132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464542" y="81499939"/>
              <a:ext cx="9961995" cy="5475145"/>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14</xdr:col>
      <xdr:colOff>426605</xdr:colOff>
      <xdr:row>436</xdr:row>
      <xdr:rowOff>20493</xdr:rowOff>
    </xdr:from>
    <xdr:to>
      <xdr:col>26</xdr:col>
      <xdr:colOff>484909</xdr:colOff>
      <xdr:row>466</xdr:row>
      <xdr:rowOff>0</xdr:rowOff>
    </xdr:to>
    <mc:AlternateContent xmlns:mc="http://schemas.openxmlformats.org/markup-compatibility/2006">
      <mc:Choice xmlns:cx1="http://schemas.microsoft.com/office/drawing/2015/9/8/chartex" Requires="cx1">
        <xdr:graphicFrame macro="">
          <xdr:nvGraphicFramePr>
            <xdr:cNvPr id="7" name="Graphique 6">
              <a:extLst>
                <a:ext uri="{FF2B5EF4-FFF2-40B4-BE49-F238E27FC236}">
                  <a16:creationId xmlns:a16="http://schemas.microsoft.com/office/drawing/2014/main" id="{F52A6576-C8A6-86CB-8427-11BF24C59F4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1628005" y="81548143"/>
              <a:ext cx="9659504" cy="5504007"/>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xdr:col>
      <xdr:colOff>675410</xdr:colOff>
      <xdr:row>466</xdr:row>
      <xdr:rowOff>25688</xdr:rowOff>
    </xdr:from>
    <xdr:to>
      <xdr:col>14</xdr:col>
      <xdr:colOff>190499</xdr:colOff>
      <xdr:row>497</xdr:row>
      <xdr:rowOff>0</xdr:rowOff>
    </xdr:to>
    <mc:AlternateContent xmlns:mc="http://schemas.openxmlformats.org/markup-compatibility/2006">
      <mc:Choice xmlns:cx1="http://schemas.microsoft.com/office/drawing/2015/9/8/chartex" Requires="cx1">
        <xdr:graphicFrame macro="">
          <xdr:nvGraphicFramePr>
            <xdr:cNvPr id="8" name="Graphique 7">
              <a:extLst>
                <a:ext uri="{FF2B5EF4-FFF2-40B4-BE49-F238E27FC236}">
                  <a16:creationId xmlns:a16="http://schemas.microsoft.com/office/drawing/2014/main" id="{5B5B31AB-A4BC-043F-4C07-45669E299AF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475510" y="87077838"/>
              <a:ext cx="9916389" cy="5682962"/>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14</xdr:col>
      <xdr:colOff>484909</xdr:colOff>
      <xdr:row>466</xdr:row>
      <xdr:rowOff>69847</xdr:rowOff>
    </xdr:from>
    <xdr:to>
      <xdr:col>26</xdr:col>
      <xdr:colOff>495877</xdr:colOff>
      <xdr:row>496</xdr:row>
      <xdr:rowOff>141721</xdr:rowOff>
    </xdr:to>
    <mc:AlternateContent xmlns:mc="http://schemas.openxmlformats.org/markup-compatibility/2006">
      <mc:Choice xmlns:cx1="http://schemas.microsoft.com/office/drawing/2015/9/8/chartex" Requires="cx1">
        <xdr:graphicFrame macro="">
          <xdr:nvGraphicFramePr>
            <xdr:cNvPr id="9" name="Graphique 8">
              <a:extLst>
                <a:ext uri="{FF2B5EF4-FFF2-40B4-BE49-F238E27FC236}">
                  <a16:creationId xmlns:a16="http://schemas.microsoft.com/office/drawing/2014/main" id="{FB82E1D3-D725-3385-AC06-1D8296E1D87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1686309" y="87121997"/>
              <a:ext cx="9612168" cy="5596374"/>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xdr:col>
      <xdr:colOff>675409</xdr:colOff>
      <xdr:row>498</xdr:row>
      <xdr:rowOff>122876</xdr:rowOff>
    </xdr:from>
    <xdr:to>
      <xdr:col>14</xdr:col>
      <xdr:colOff>17317</xdr:colOff>
      <xdr:row>526</xdr:row>
      <xdr:rowOff>56202</xdr:rowOff>
    </xdr:to>
    <mc:AlternateContent xmlns:mc="http://schemas.openxmlformats.org/markup-compatibility/2006">
      <mc:Choice xmlns:cx1="http://schemas.microsoft.com/office/drawing/2015/9/8/chartex" Requires="cx1">
        <xdr:graphicFrame macro="">
          <xdr:nvGraphicFramePr>
            <xdr:cNvPr id="10" name="Graphique 9">
              <a:extLst>
                <a:ext uri="{FF2B5EF4-FFF2-40B4-BE49-F238E27FC236}">
                  <a16:creationId xmlns:a16="http://schemas.microsoft.com/office/drawing/2014/main" id="{5D5F8240-4BD0-A289-6EB4-7ACC3EA2D00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475509" y="93067826"/>
              <a:ext cx="9743208" cy="5089526"/>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14</xdr:col>
      <xdr:colOff>467591</xdr:colOff>
      <xdr:row>497</xdr:row>
      <xdr:rowOff>155864</xdr:rowOff>
    </xdr:from>
    <xdr:to>
      <xdr:col>26</xdr:col>
      <xdr:colOff>620280</xdr:colOff>
      <xdr:row>524</xdr:row>
      <xdr:rowOff>66098</xdr:rowOff>
    </xdr:to>
    <mc:AlternateContent xmlns:mc="http://schemas.openxmlformats.org/markup-compatibility/2006">
      <mc:Choice xmlns:cx1="http://schemas.microsoft.com/office/drawing/2015/9/8/chartex" Requires="cx1">
        <xdr:graphicFrame macro="">
          <xdr:nvGraphicFramePr>
            <xdr:cNvPr id="11" name="Graphique 10">
              <a:extLst>
                <a:ext uri="{FF2B5EF4-FFF2-40B4-BE49-F238E27FC236}">
                  <a16:creationId xmlns:a16="http://schemas.microsoft.com/office/drawing/2014/main" id="{3ED07215-DA24-3B3A-2A73-279EB30D1B57}"/>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1668991" y="92916664"/>
              <a:ext cx="9753889" cy="4882284"/>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xdr:col>
      <xdr:colOff>10968</xdr:colOff>
      <xdr:row>527</xdr:row>
      <xdr:rowOff>11543</xdr:rowOff>
    </xdr:from>
    <xdr:to>
      <xdr:col>13</xdr:col>
      <xdr:colOff>761999</xdr:colOff>
      <xdr:row>555</xdr:row>
      <xdr:rowOff>86589</xdr:rowOff>
    </xdr:to>
    <mc:AlternateContent xmlns:mc="http://schemas.openxmlformats.org/markup-compatibility/2006">
      <mc:Choice xmlns:cx1="http://schemas.microsoft.com/office/drawing/2015/9/8/chartex" Requires="cx1">
        <xdr:graphicFrame macro="">
          <xdr:nvGraphicFramePr>
            <xdr:cNvPr id="12" name="Graphique 11">
              <a:extLst>
                <a:ext uri="{FF2B5EF4-FFF2-40B4-BE49-F238E27FC236}">
                  <a16:creationId xmlns:a16="http://schemas.microsoft.com/office/drawing/2014/main" id="{E11594B5-5629-4D92-2289-F5F6A599F90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1611168" y="98296843"/>
              <a:ext cx="9552131" cy="5231246"/>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14</xdr:col>
      <xdr:colOff>568325</xdr:colOff>
      <xdr:row>525</xdr:row>
      <xdr:rowOff>161059</xdr:rowOff>
    </xdr:from>
    <xdr:to>
      <xdr:col>27</xdr:col>
      <xdr:colOff>51954</xdr:colOff>
      <xdr:row>555</xdr:row>
      <xdr:rowOff>155863</xdr:rowOff>
    </xdr:to>
    <mc:AlternateContent xmlns:mc="http://schemas.openxmlformats.org/markup-compatibility/2006">
      <mc:Choice xmlns:cx1="http://schemas.microsoft.com/office/drawing/2015/9/8/chartex" Requires="cx1">
        <xdr:graphicFrame macro="">
          <xdr:nvGraphicFramePr>
            <xdr:cNvPr id="13" name="Graphique 12">
              <a:extLst>
                <a:ext uri="{FF2B5EF4-FFF2-40B4-BE49-F238E27FC236}">
                  <a16:creationId xmlns:a16="http://schemas.microsoft.com/office/drawing/2014/main" id="{A51794C9-E303-3CA8-5FD2-3E6A259DF1B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11769725" y="98078059"/>
              <a:ext cx="9884929" cy="5519304"/>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21</xdr:col>
      <xdr:colOff>658812</xdr:colOff>
      <xdr:row>366</xdr:row>
      <xdr:rowOff>95250</xdr:rowOff>
    </xdr:from>
    <xdr:to>
      <xdr:col>35</xdr:col>
      <xdr:colOff>761999</xdr:colOff>
      <xdr:row>407</xdr:row>
      <xdr:rowOff>188913</xdr:rowOff>
    </xdr:to>
    <xdr:graphicFrame macro="">
      <xdr:nvGraphicFramePr>
        <xdr:cNvPr id="2" name="Graphique 1">
          <a:extLst>
            <a:ext uri="{FF2B5EF4-FFF2-40B4-BE49-F238E27FC236}">
              <a16:creationId xmlns:a16="http://schemas.microsoft.com/office/drawing/2014/main" id="{B3BDC22C-FC00-873F-75D9-676852AED3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365125</xdr:colOff>
      <xdr:row>413</xdr:row>
      <xdr:rowOff>0</xdr:rowOff>
    </xdr:from>
    <xdr:to>
      <xdr:col>30</xdr:col>
      <xdr:colOff>391679</xdr:colOff>
      <xdr:row>434</xdr:row>
      <xdr:rowOff>11257</xdr:rowOff>
    </xdr:to>
    <mc:AlternateContent xmlns:mc="http://schemas.openxmlformats.org/markup-compatibility/2006">
      <mc:Choice xmlns:cx1="http://schemas.microsoft.com/office/drawing/2015/9/8/chartex" Requires="cx1">
        <xdr:graphicFrame macro="">
          <xdr:nvGraphicFramePr>
            <xdr:cNvPr id="3" name="Graphique 2">
              <a:extLst>
                <a:ext uri="{FF2B5EF4-FFF2-40B4-BE49-F238E27FC236}">
                  <a16:creationId xmlns:a16="http://schemas.microsoft.com/office/drawing/2014/main" id="{A3857F47-BF3B-4386-9F93-5204049170D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17167225" y="77165200"/>
              <a:ext cx="7227454" cy="4005407"/>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1061357</xdr:colOff>
      <xdr:row>7</xdr:row>
      <xdr:rowOff>9072</xdr:rowOff>
    </xdr:from>
    <xdr:to>
      <xdr:col>14</xdr:col>
      <xdr:colOff>255407</xdr:colOff>
      <xdr:row>31</xdr:row>
      <xdr:rowOff>150944</xdr:rowOff>
    </xdr:to>
    <xdr:pic>
      <xdr:nvPicPr>
        <xdr:cNvPr id="4" name="Image 3">
          <a:extLst>
            <a:ext uri="{FF2B5EF4-FFF2-40B4-BE49-F238E27FC236}">
              <a16:creationId xmlns:a16="http://schemas.microsoft.com/office/drawing/2014/main" id="{853F200A-788E-4BEB-C3C9-69C3045D70E7}"/>
            </a:ext>
          </a:extLst>
        </xdr:cNvPr>
        <xdr:cNvPicPr>
          <a:picLocks noChangeAspect="1"/>
        </xdr:cNvPicPr>
      </xdr:nvPicPr>
      <xdr:blipFill>
        <a:blip xmlns:r="http://schemas.openxmlformats.org/officeDocument/2006/relationships" r:embed="rId1"/>
        <a:stretch>
          <a:fillRect/>
        </a:stretch>
      </xdr:blipFill>
      <xdr:spPr>
        <a:xfrm>
          <a:off x="2703286" y="1360715"/>
          <a:ext cx="16405432" cy="4496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15</xdr:col>
      <xdr:colOff>884294</xdr:colOff>
      <xdr:row>14</xdr:row>
      <xdr:rowOff>47504</xdr:rowOff>
    </xdr:to>
    <xdr:pic>
      <xdr:nvPicPr>
        <xdr:cNvPr id="2" name="Image 1">
          <a:extLst>
            <a:ext uri="{FF2B5EF4-FFF2-40B4-BE49-F238E27FC236}">
              <a16:creationId xmlns:a16="http://schemas.microsoft.com/office/drawing/2014/main" id="{9C93E0E3-FB89-1B7A-0EF9-DF41549F1D04}"/>
            </a:ext>
          </a:extLst>
        </xdr:cNvPr>
        <xdr:cNvPicPr>
          <a:picLocks noChangeAspect="1"/>
        </xdr:cNvPicPr>
      </xdr:nvPicPr>
      <xdr:blipFill>
        <a:blip xmlns:r="http://schemas.openxmlformats.org/officeDocument/2006/relationships" r:embed="rId1"/>
        <a:stretch>
          <a:fillRect/>
        </a:stretch>
      </xdr:blipFill>
      <xdr:spPr>
        <a:xfrm>
          <a:off x="2235200" y="1739900"/>
          <a:ext cx="16533333" cy="9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762001</xdr:colOff>
      <xdr:row>8</xdr:row>
      <xdr:rowOff>0</xdr:rowOff>
    </xdr:from>
    <xdr:to>
      <xdr:col>19</xdr:col>
      <xdr:colOff>580772</xdr:colOff>
      <xdr:row>13</xdr:row>
      <xdr:rowOff>30268</xdr:rowOff>
    </xdr:to>
    <xdr:pic>
      <xdr:nvPicPr>
        <xdr:cNvPr id="2" name="Image 1">
          <a:extLst>
            <a:ext uri="{FF2B5EF4-FFF2-40B4-BE49-F238E27FC236}">
              <a16:creationId xmlns:a16="http://schemas.microsoft.com/office/drawing/2014/main" id="{6DB024D0-F19A-444F-AB0F-53302A0A3CD9}"/>
            </a:ext>
          </a:extLst>
        </xdr:cNvPr>
        <xdr:cNvPicPr>
          <a:picLocks noChangeAspect="1"/>
        </xdr:cNvPicPr>
      </xdr:nvPicPr>
      <xdr:blipFill>
        <a:blip xmlns:r="http://schemas.openxmlformats.org/officeDocument/2006/relationships" r:embed="rId1"/>
        <a:stretch>
          <a:fillRect/>
        </a:stretch>
      </xdr:blipFill>
      <xdr:spPr>
        <a:xfrm>
          <a:off x="2013858" y="1510393"/>
          <a:ext cx="16640375" cy="9115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5</xdr:row>
      <xdr:rowOff>146028</xdr:rowOff>
    </xdr:from>
    <xdr:to>
      <xdr:col>12</xdr:col>
      <xdr:colOff>341717</xdr:colOff>
      <xdr:row>17</xdr:row>
      <xdr:rowOff>88569</xdr:rowOff>
    </xdr:to>
    <xdr:pic>
      <xdr:nvPicPr>
        <xdr:cNvPr id="2" name="Image 1">
          <a:extLst>
            <a:ext uri="{FF2B5EF4-FFF2-40B4-BE49-F238E27FC236}">
              <a16:creationId xmlns:a16="http://schemas.microsoft.com/office/drawing/2014/main" id="{B14ABDE6-E049-5987-9D5F-F087BCCC9705}"/>
            </a:ext>
          </a:extLst>
        </xdr:cNvPr>
        <xdr:cNvPicPr>
          <a:picLocks noChangeAspect="1"/>
        </xdr:cNvPicPr>
      </xdr:nvPicPr>
      <xdr:blipFill>
        <a:blip xmlns:r="http://schemas.openxmlformats.org/officeDocument/2006/relationships" r:embed="rId1"/>
        <a:stretch>
          <a:fillRect/>
        </a:stretch>
      </xdr:blipFill>
      <xdr:spPr>
        <a:xfrm>
          <a:off x="2390775" y="1498578"/>
          <a:ext cx="9660023" cy="21110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958274</xdr:colOff>
      <xdr:row>8</xdr:row>
      <xdr:rowOff>23092</xdr:rowOff>
    </xdr:from>
    <xdr:to>
      <xdr:col>19</xdr:col>
      <xdr:colOff>753760</xdr:colOff>
      <xdr:row>17</xdr:row>
      <xdr:rowOff>112927</xdr:rowOff>
    </xdr:to>
    <xdr:pic>
      <xdr:nvPicPr>
        <xdr:cNvPr id="2" name="Image 1">
          <a:extLst>
            <a:ext uri="{FF2B5EF4-FFF2-40B4-BE49-F238E27FC236}">
              <a16:creationId xmlns:a16="http://schemas.microsoft.com/office/drawing/2014/main" id="{7E2AF228-ADFB-06CB-41BC-16C53AF3F9B9}"/>
            </a:ext>
          </a:extLst>
        </xdr:cNvPr>
        <xdr:cNvPicPr>
          <a:picLocks noChangeAspect="1"/>
        </xdr:cNvPicPr>
      </xdr:nvPicPr>
      <xdr:blipFill>
        <a:blip xmlns:r="http://schemas.openxmlformats.org/officeDocument/2006/relationships" r:embed="rId1"/>
        <a:stretch>
          <a:fillRect/>
        </a:stretch>
      </xdr:blipFill>
      <xdr:spPr>
        <a:xfrm>
          <a:off x="2493819" y="1581728"/>
          <a:ext cx="17428571" cy="175238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4ce.org/publication/evaluation-climat-des-budgets-des-collectivites-territoriales-guide-methodologique/" TargetMode="External"/><Relationship Id="rId1" Type="http://schemas.openxmlformats.org/officeDocument/2006/relationships/hyperlink" Target="https://www.i4ce.org/publication/panorama-financements-climat-edition-2025/"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hyperlink" Target="https://view.officeapps.live.com/op/view.aspx?src=https%3A%2F%2Fwww.statistiques.developpement-durable.gouv.fr%2Fmedia%2F7838%2Fdownload%3Finline&amp;wdOrigin=BROWSELINK" TargetMode="External"/><Relationship Id="rId7" Type="http://schemas.openxmlformats.org/officeDocument/2006/relationships/drawing" Target="../drawings/drawing10.xml"/><Relationship Id="rId2" Type="http://schemas.openxmlformats.org/officeDocument/2006/relationships/hyperlink" Target="https://www.asphalte-evolution.fr/location-revetements-routiers_construction-routiere_informations-sur-la-construction-routiere_combien-coute-la-construction-dune-route.phtml" TargetMode="External"/><Relationship Id="rId1" Type="http://schemas.openxmlformats.org/officeDocument/2006/relationships/hyperlink" Target="https://www.routesdefrance.com/wp-content/uploads/2015/06/dossier-de-presse-ag-2015-usirf.pdf" TargetMode="External"/><Relationship Id="rId6" Type="http://schemas.openxmlformats.org/officeDocument/2006/relationships/printerSettings" Target="../printerSettings/printerSettings10.bin"/><Relationship Id="rId5" Type="http://schemas.openxmlformats.org/officeDocument/2006/relationships/hyperlink" Target="https://view.officeapps.live.com/op/view.aspx?src=https%3A%2F%2Fwww.statistiques.developpement-durable.gouv.fr%2Fmedia%2F7838%2Fdownload%3Finline&amp;wdOrigin=BROWSELINK" TargetMode="External"/><Relationship Id="rId4" Type="http://schemas.openxmlformats.org/officeDocument/2006/relationships/hyperlink" Target="https://www.collectivites-locales.gouv.fr/files/Accueil/DESL/2025/BIS%20192%20-%20les%20d%C3%A9penses%20de%20voirie%202013-2023%20v4.pdf" TargetMode="Externa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s://igedd.documentation.developpement-durable.gouv.fr/documents/Affaires-0009046/010207-01_rapport.pdf" TargetMode="External"/><Relationship Id="rId7" Type="http://schemas.openxmlformats.org/officeDocument/2006/relationships/hyperlink" Target="https://www.fnaut.fr/uploads/2019/08/db190828apta.pdf" TargetMode="External"/><Relationship Id="rId2" Type="http://schemas.openxmlformats.org/officeDocument/2006/relationships/hyperlink" Target="https://www.ccomptes.fr/fr/publications/le-maillage-aeroportuaire-francais" TargetMode="External"/><Relationship Id="rId1" Type="http://schemas.openxmlformats.org/officeDocument/2006/relationships/hyperlink" Target="https://metropolitiques.eu/Quel-avenir-pour-les-aeroports-secondaires-et-regionaux-en-France.html" TargetMode="External"/><Relationship Id="rId6" Type="http://schemas.openxmlformats.org/officeDocument/2006/relationships/hyperlink" Target="https://www.fnaut.fr/uploads/2022/05/Jacques_Pavaux_Se%CC%81nat_Impact_e%CC%81conomique_ae%CC%81roportVF3.pdf" TargetMode="External"/><Relationship Id="rId5" Type="http://schemas.openxmlformats.org/officeDocument/2006/relationships/hyperlink" Target="https://www.capital.fr/economie-politique/gaspillage-dargent-public-ces-petits-aeroports-regionaux-qui-nous-coutent-un-bras-1489123" TargetMode="External"/><Relationship Id="rId4" Type="http://schemas.openxmlformats.org/officeDocument/2006/relationships/hyperlink" Target="https://agence-cohesion-territoires.gouv.fr/sites/default/files/2021-01/rapport-maillage-aeroportuaire-francais-2017.pdf" TargetMode="External"/><Relationship Id="rId9"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8" Type="http://schemas.openxmlformats.org/officeDocument/2006/relationships/hyperlink" Target="https://ma-cantine.agriculture.gouv.fr/statistiques-regionales?year=2023" TargetMode="External"/><Relationship Id="rId3" Type="http://schemas.openxmlformats.org/officeDocument/2006/relationships/hyperlink" Target="https://www.banquedesterritoires.fr/restauration-collective-275-de-produits-durables-et-de-qualite-en-2022" TargetMode="External"/><Relationship Id="rId7" Type="http://schemas.openxmlformats.org/officeDocument/2006/relationships/hyperlink" Target="https://www.vegecantines.fr/media/files/AVF_Enquete-EGalim-menu-vege_Synthese_fev2024.pdf" TargetMode="External"/><Relationship Id="rId2" Type="http://schemas.openxmlformats.org/officeDocument/2006/relationships/hyperlink" Target="https://www.abiodoc.com/actualite-de-la-bio/plateforme-ma-cantine-chiffres-2023" TargetMode="External"/><Relationship Id="rId1" Type="http://schemas.openxmlformats.org/officeDocument/2006/relationships/hyperlink" Target="https://ma-cantine-metabase.cleverapps.io/public/dashboard/3dab8a21-c4b9-46e1-84fa-7ba485ddfbbb" TargetMode="External"/><Relationship Id="rId6" Type="http://schemas.openxmlformats.org/officeDocument/2006/relationships/hyperlink" Target="https://www.cnfpt.fr/sites/default/files/etude_sectorielle_restauration_2019_09_05.pdf" TargetMode="External"/><Relationship Id="rId5" Type="http://schemas.openxmlformats.org/officeDocument/2006/relationships/hyperlink" Target="https://www.assemblee-nationale.fr/dyn/15/textes/l15b0627_etude-impact" TargetMode="External"/><Relationship Id="rId4" Type="http://schemas.openxmlformats.org/officeDocument/2006/relationships/hyperlink" Target="https://www.agro-media.fr/dossier/restauration-collective-seduite-bio-25011.html" TargetMode="External"/><Relationship Id="rId9"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view.officeapps.live.com/op/view.aspx?src=https%3A%2F%2Fwww.statistiques.developpement-durable.gouv.fr%2Fmedia%2F7601%2Fdownload%3Finline&amp;wdOrigin=BROWSELINK" TargetMode="External"/><Relationship Id="rId3" Type="http://schemas.openxmlformats.org/officeDocument/2006/relationships/hyperlink" Target="https://librairie.ademe.fr/batiment/493-depenses-energetiques-des-collectivites-locales.html" TargetMode="External"/><Relationship Id="rId7" Type="http://schemas.openxmlformats.org/officeDocument/2006/relationships/hyperlink" Target="https://view.officeapps.live.com/op/view.aspx?src=https%3A%2F%2Fwww.statistiques.developpement-durable.gouv.fr%2Fmedia%2F7601%2Fdownload%3Finline&amp;wdOrigin=BROWSELINK" TargetMode="External"/><Relationship Id="rId12" Type="http://schemas.openxmlformats.org/officeDocument/2006/relationships/drawing" Target="../drawings/drawing3.xml"/><Relationship Id="rId2" Type="http://schemas.openxmlformats.org/officeDocument/2006/relationships/hyperlink" Target="https://librairie.ademe.fr/batiment/493-depenses-energetiques-des-collectivites-locales.html" TargetMode="External"/><Relationship Id="rId1" Type="http://schemas.openxmlformats.org/officeDocument/2006/relationships/hyperlink" Target="https://analysesetdonnees.rte-france.com/production/synthese" TargetMode="External"/><Relationship Id="rId6" Type="http://schemas.openxmlformats.org/officeDocument/2006/relationships/hyperlink" Target="https://librairie.ademe.fr/batiment/493-depenses-energetiques-des-collectivites-locales.html" TargetMode="External"/><Relationship Id="rId11" Type="http://schemas.openxmlformats.org/officeDocument/2006/relationships/printerSettings" Target="../printerSettings/printerSettings5.bin"/><Relationship Id="rId5" Type="http://schemas.openxmlformats.org/officeDocument/2006/relationships/hyperlink" Target="https://librairie.ademe.fr/batiment/493-depenses-energetiques-des-collectivites-locales.html" TargetMode="External"/><Relationship Id="rId10" Type="http://schemas.openxmlformats.org/officeDocument/2006/relationships/hyperlink" Target="https://analysesetdonnees.rte-france.com/production/synthese" TargetMode="External"/><Relationship Id="rId4" Type="http://schemas.openxmlformats.org/officeDocument/2006/relationships/hyperlink" Target="https://librairie.ademe.fr/batiment/493-depenses-energetiques-des-collectivites-locales.html" TargetMode="External"/><Relationship Id="rId9" Type="http://schemas.openxmlformats.org/officeDocument/2006/relationships/hyperlink" Target="https://www.statistiques.developpement-durable.gouv.fr/les-reseaux-de-chaleur-et-froid-en-202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ademe.fr/sites/default/files/assets/documents/prix-comb-bois_professionnel_2018.pdf" TargetMode="External"/><Relationship Id="rId3" Type="http://schemas.openxmlformats.org/officeDocument/2006/relationships/hyperlink" Target="http://www.prix-carburants.developpement-durable.gouv.fr/petrole/se_cons_fr.htm" TargetMode="External"/><Relationship Id="rId7" Type="http://schemas.openxmlformats.org/officeDocument/2006/relationships/hyperlink" Target="https://nouvelle-aquitaine.ademe.fr/sites/default/files/enquete-prix-combustibles-bois-chauffage-industriel-collectif-2017.pdf" TargetMode="External"/><Relationship Id="rId2" Type="http://schemas.openxmlformats.org/officeDocument/2006/relationships/hyperlink" Target="https://ec.europa.eu/eurostat/databrowser/view/nrg_pc_203/default/table?lang=en&amp;category=nrg.nrg_price.nrg_pc" TargetMode="External"/><Relationship Id="rId1" Type="http://schemas.openxmlformats.org/officeDocument/2006/relationships/hyperlink" Target="https://ec.europa.eu/eurostat/databrowser/view/NRG_PC_205/default/table?lang=en" TargetMode="External"/><Relationship Id="rId6" Type="http://schemas.openxmlformats.org/officeDocument/2006/relationships/hyperlink" Target="https://www.ademe.fr/sites/default/files/assets/documents/prix-combustibles-bois_professionnel_2019.pdf" TargetMode="External"/><Relationship Id="rId11" Type="http://schemas.openxmlformats.org/officeDocument/2006/relationships/drawing" Target="../drawings/drawing4.xml"/><Relationship Id="rId5" Type="http://schemas.openxmlformats.org/officeDocument/2006/relationships/hyperlink" Target="http://www.arbocentre.asso.fr/uploads/observatoire-regional/boisenergie-boisindustrie/Prix-Comb-Bois_Professionnel_2015.pdf" TargetMode="External"/><Relationship Id="rId10" Type="http://schemas.openxmlformats.org/officeDocument/2006/relationships/printerSettings" Target="../printerSettings/printerSettings6.bin"/><Relationship Id="rId4" Type="http://schemas.openxmlformats.org/officeDocument/2006/relationships/hyperlink" Target="https://www.ademe.fr/sites/default/files/assets/documents/prix-combustibles-bois_professionnel_2019.pdf" TargetMode="External"/><Relationship Id="rId9" Type="http://schemas.openxmlformats.org/officeDocument/2006/relationships/hyperlink" Target="https://www.ecologie.gouv.fr/prix-des-produits-petroliers"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view.officeapps.live.com/op/view.aspx?src=https%3A%2F%2Fwww.statistiques.developpement-durable.gouv.fr%2Fmedia%2F205%2Fdownload%3Finline&amp;wdOrigin=BROWSELINK"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igedd.documentation.developpement-durable.gouv.fr/documents/Affaires-0011438/012741-01_rapport-publie.pdf;jsessionid=42C3EC2B04DA500554C047ED1585733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53EC-504A-4FA9-B1EB-31490883924F}">
  <sheetPr>
    <tabColor rgb="FFFFFF00"/>
  </sheetPr>
  <dimension ref="A2:T43"/>
  <sheetViews>
    <sheetView showGridLines="0" topLeftCell="A3" zoomScale="115" zoomScaleNormal="115" workbookViewId="0">
      <selection activeCell="J17" sqref="J17"/>
    </sheetView>
  </sheetViews>
  <sheetFormatPr baseColWidth="10" defaultColWidth="11.453125" defaultRowHeight="14.5" x14ac:dyDescent="0.35"/>
  <cols>
    <col min="1" max="1" width="11.1796875" style="1325" customWidth="1"/>
    <col min="2" max="2" width="12.7265625" style="1318" customWidth="1"/>
    <col min="3" max="3" width="13.453125" customWidth="1"/>
  </cols>
  <sheetData>
    <row r="2" spans="1:3" ht="21" x14ac:dyDescent="0.5">
      <c r="A2" s="1316" t="s">
        <v>0</v>
      </c>
      <c r="B2" s="1317"/>
      <c r="C2" s="1316"/>
    </row>
    <row r="3" spans="1:3" x14ac:dyDescent="0.35">
      <c r="A3" t="s">
        <v>1</v>
      </c>
    </row>
    <row r="4" spans="1:3" x14ac:dyDescent="0.35">
      <c r="A4" s="1319" t="s">
        <v>2</v>
      </c>
    </row>
    <row r="6" spans="1:3" x14ac:dyDescent="0.35">
      <c r="A6" s="1320" t="s">
        <v>3</v>
      </c>
    </row>
    <row r="7" spans="1:3" x14ac:dyDescent="0.35">
      <c r="A7" s="1321">
        <v>45860</v>
      </c>
    </row>
    <row r="9" spans="1:3" ht="20.25" customHeight="1" x14ac:dyDescent="0.6">
      <c r="A9" s="1322" t="s">
        <v>4</v>
      </c>
      <c r="B9" s="1323"/>
      <c r="C9" s="1324"/>
    </row>
    <row r="11" spans="1:3" x14ac:dyDescent="0.35">
      <c r="A11" s="1318"/>
      <c r="B11" t="s">
        <v>5</v>
      </c>
    </row>
    <row r="12" spans="1:3" x14ac:dyDescent="0.35">
      <c r="A12" s="1318"/>
      <c r="B12" s="144"/>
    </row>
    <row r="13" spans="1:3" x14ac:dyDescent="0.35">
      <c r="A13" s="1318"/>
      <c r="B13" s="267"/>
    </row>
    <row r="14" spans="1:3" x14ac:dyDescent="0.35">
      <c r="A14" s="1318"/>
      <c r="B14" t="s">
        <v>6</v>
      </c>
    </row>
    <row r="15" spans="1:3" x14ac:dyDescent="0.35">
      <c r="A15" s="1318"/>
      <c r="B15" s="267"/>
    </row>
    <row r="16" spans="1:3" x14ac:dyDescent="0.35">
      <c r="A16" s="1318"/>
      <c r="B16" s="1329" t="s">
        <v>7</v>
      </c>
      <c r="C16" t="s">
        <v>8</v>
      </c>
    </row>
    <row r="18" spans="2:3" x14ac:dyDescent="0.35">
      <c r="B18" s="1326" t="s">
        <v>9</v>
      </c>
      <c r="C18" s="1326"/>
    </row>
    <row r="19" spans="2:3" x14ac:dyDescent="0.35">
      <c r="B19"/>
    </row>
    <row r="20" spans="2:3" x14ac:dyDescent="0.35">
      <c r="B20" s="1330" t="s">
        <v>10</v>
      </c>
      <c r="C20" t="s">
        <v>11</v>
      </c>
    </row>
    <row r="21" spans="2:3" x14ac:dyDescent="0.35">
      <c r="B21" s="1330" t="s">
        <v>12</v>
      </c>
      <c r="C21" t="s">
        <v>13</v>
      </c>
    </row>
    <row r="22" spans="2:3" x14ac:dyDescent="0.35">
      <c r="B22" s="1330" t="s">
        <v>14</v>
      </c>
      <c r="C22" t="s">
        <v>15</v>
      </c>
    </row>
    <row r="23" spans="2:3" x14ac:dyDescent="0.35">
      <c r="B23" s="1330" t="s">
        <v>16</v>
      </c>
      <c r="C23" t="s">
        <v>17</v>
      </c>
    </row>
    <row r="24" spans="2:3" x14ac:dyDescent="0.35">
      <c r="B24" s="1330" t="s">
        <v>18</v>
      </c>
      <c r="C24" t="s">
        <v>19</v>
      </c>
    </row>
    <row r="25" spans="2:3" x14ac:dyDescent="0.35">
      <c r="B25" s="1330" t="s">
        <v>20</v>
      </c>
      <c r="C25" t="s">
        <v>21</v>
      </c>
    </row>
    <row r="26" spans="2:3" x14ac:dyDescent="0.35">
      <c r="B26" s="1330" t="s">
        <v>22</v>
      </c>
      <c r="C26" t="s">
        <v>23</v>
      </c>
    </row>
    <row r="27" spans="2:3" x14ac:dyDescent="0.35">
      <c r="B27" s="1330" t="s">
        <v>24</v>
      </c>
      <c r="C27" t="s">
        <v>25</v>
      </c>
    </row>
    <row r="28" spans="2:3" x14ac:dyDescent="0.35">
      <c r="B28" s="1330" t="s">
        <v>26</v>
      </c>
      <c r="C28" t="s">
        <v>27</v>
      </c>
    </row>
    <row r="29" spans="2:3" x14ac:dyDescent="0.35">
      <c r="B29" s="1330" t="s">
        <v>28</v>
      </c>
      <c r="C29" t="s">
        <v>29</v>
      </c>
    </row>
    <row r="30" spans="2:3" x14ac:dyDescent="0.35">
      <c r="B30" s="1330" t="s">
        <v>30</v>
      </c>
      <c r="C30" t="s">
        <v>31</v>
      </c>
    </row>
    <row r="31" spans="2:3" x14ac:dyDescent="0.35">
      <c r="B31"/>
    </row>
    <row r="32" spans="2:3" x14ac:dyDescent="0.35">
      <c r="B32" t="s">
        <v>32</v>
      </c>
    </row>
    <row r="33" spans="1:20" x14ac:dyDescent="0.35">
      <c r="B33" t="s">
        <v>33</v>
      </c>
    </row>
    <row r="34" spans="1:20" x14ac:dyDescent="0.35">
      <c r="B34" t="s">
        <v>34</v>
      </c>
    </row>
    <row r="35" spans="1:20" x14ac:dyDescent="0.35">
      <c r="A35" s="1318"/>
      <c r="B35" t="s">
        <v>35</v>
      </c>
    </row>
    <row r="36" spans="1:20" x14ac:dyDescent="0.35">
      <c r="A36" s="1318"/>
      <c r="B36" t="s">
        <v>36</v>
      </c>
    </row>
    <row r="37" spans="1:20" x14ac:dyDescent="0.35">
      <c r="A37" s="1318"/>
      <c r="B37"/>
    </row>
    <row r="38" spans="1:20" ht="17.25" customHeight="1" x14ac:dyDescent="0.35">
      <c r="C38" s="250"/>
    </row>
    <row r="39" spans="1:20" ht="15.75" customHeight="1" x14ac:dyDescent="0.4">
      <c r="A39" s="1327" t="s">
        <v>37</v>
      </c>
      <c r="B39" s="1317"/>
      <c r="C39" s="1328"/>
      <c r="Q39" s="1331" t="s">
        <v>38</v>
      </c>
      <c r="R39" s="1331"/>
      <c r="S39" s="1331"/>
      <c r="T39" s="1331"/>
    </row>
    <row r="40" spans="1:20" ht="16" x14ac:dyDescent="0.4">
      <c r="A40" s="1327" t="s">
        <v>39</v>
      </c>
      <c r="Q40" s="1331"/>
      <c r="R40" s="1331"/>
      <c r="S40" s="1331"/>
      <c r="T40" s="1331"/>
    </row>
    <row r="42" spans="1:20" ht="16" x14ac:dyDescent="0.4">
      <c r="A42" s="1327" t="s">
        <v>40</v>
      </c>
      <c r="Q42" s="1331" t="s">
        <v>41</v>
      </c>
      <c r="R42" s="1331"/>
      <c r="S42" s="1331"/>
      <c r="T42" s="1331"/>
    </row>
    <row r="43" spans="1:20" ht="16" x14ac:dyDescent="0.4">
      <c r="A43" s="1327" t="s">
        <v>39</v>
      </c>
      <c r="Q43" s="1331"/>
      <c r="R43" s="1331"/>
      <c r="S43" s="1331"/>
      <c r="T43" s="1331"/>
    </row>
  </sheetData>
  <mergeCells count="2">
    <mergeCell ref="Q39:T40"/>
    <mergeCell ref="Q42:T43"/>
  </mergeCells>
  <hyperlinks>
    <hyperlink ref="B20" location="CT_RENO!A1" display="CT RENO" xr:uid="{22DD76C6-5C3E-41CF-B19C-54A3C0534398}"/>
    <hyperlink ref="B24" location="VP!A1" display="VP" xr:uid="{1A86A3DB-C017-4642-B7B6-2CDF83B74336}"/>
    <hyperlink ref="B25" location="VUL!A1" display="VUL" xr:uid="{0DBA1CC2-7477-4015-84DF-E3963928AD71}"/>
    <hyperlink ref="B26" location="BUSCAR!A1" display="BUSCAR" xr:uid="{79DE0A3A-4D12-44DC-A158-E753E52630AC}"/>
    <hyperlink ref="B27" location="MR_FER!A1" display="MR_FER" xr:uid="{FDF4FE65-DD63-4AA8-812A-BB9B305223D5}"/>
    <hyperlink ref="B29" location="RESTAUCO!A1" display="RESTAUCO" xr:uid="{9C507631-92BA-4BAF-862A-AC9FD510B881}"/>
    <hyperlink ref="B30" location="MAT_INFO!A1" display="MAT_INFO" xr:uid="{6E189692-6175-40D5-A8B1-FD35295F6746}"/>
    <hyperlink ref="Q39:T40" r:id="rId1" display="LIEN VERS L'EDITION 2025 DU PANORAMA DES FINANCEMENTS CLIMAT" xr:uid="{584FFFCF-14E8-4444-A95C-8D62AF9B9371}"/>
    <hyperlink ref="B16" location="Synthèse!A1" display="SYNTHESE" xr:uid="{DA66CE1A-BF7F-4A78-A07B-A973379A4768}"/>
    <hyperlink ref="B21" location="DEP_ENER!A1" display="DEP_ENER" xr:uid="{C7B01338-33CA-4B92-BE71-22CE276F6FA2}"/>
    <hyperlink ref="B23" location="TER_NEUF!A1" display="TER_NEUF" xr:uid="{C6A59465-AB29-4CD2-8BA7-019E2D7A16B5}"/>
    <hyperlink ref="Q42:T43" r:id="rId2" display="LIEN VERS LA METHODOLOGIE ECB (I4CE, 2022) " xr:uid="{36DCA671-FE4F-4AC0-8EB0-737D894ED091}"/>
    <hyperlink ref="B22" location="axENER!A1" display="axENER" xr:uid="{4594008D-297B-44E4-BE37-0C542B927791}"/>
    <hyperlink ref="B28" location="ROUTES!A1" display="ROUTES" xr:uid="{96312BAD-5818-4DED-9C44-BFC4D64FB515}"/>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B5C7-7A31-4D5C-87A6-2DFBDCAC3204}">
  <dimension ref="A1:V68"/>
  <sheetViews>
    <sheetView showGridLines="0" zoomScale="40" zoomScaleNormal="40" workbookViewId="0">
      <pane ySplit="1" topLeftCell="A35" activePane="bottomLeft" state="frozen"/>
      <selection pane="bottomLeft" activeCell="H17" sqref="H17"/>
    </sheetView>
  </sheetViews>
  <sheetFormatPr baseColWidth="10" defaultColWidth="11.453125" defaultRowHeight="14.5" x14ac:dyDescent="0.35"/>
  <cols>
    <col min="1" max="1" width="20.54296875" customWidth="1"/>
    <col min="4" max="4" width="16.54296875" customWidth="1"/>
    <col min="8" max="8" width="20.453125" bestFit="1" customWidth="1"/>
    <col min="9" max="9" width="20.7265625" bestFit="1" customWidth="1"/>
    <col min="10" max="13" width="20.453125" bestFit="1" customWidth="1"/>
    <col min="14" max="15" width="19.54296875" bestFit="1" customWidth="1"/>
    <col min="16" max="18" width="20.7265625" bestFit="1" customWidth="1"/>
    <col min="19" max="19" width="20.453125" bestFit="1" customWidth="1"/>
    <col min="20" max="20" width="19.54296875" bestFit="1" customWidth="1"/>
    <col min="21" max="22" width="20.453125" bestFit="1" customWidth="1"/>
  </cols>
  <sheetData>
    <row r="1" spans="1:20" ht="21" x14ac:dyDescent="0.35">
      <c r="A1" s="103" t="s">
        <v>413</v>
      </c>
      <c r="B1" s="103" t="s">
        <v>414</v>
      </c>
      <c r="C1" s="1" t="s">
        <v>793</v>
      </c>
      <c r="H1" s="175">
        <v>2011</v>
      </c>
      <c r="I1" s="176">
        <v>2012</v>
      </c>
      <c r="J1" s="176">
        <v>2013</v>
      </c>
      <c r="K1" s="176">
        <v>2014</v>
      </c>
      <c r="L1" s="176">
        <v>2015</v>
      </c>
      <c r="M1" s="176">
        <v>2016</v>
      </c>
      <c r="N1" s="176">
        <v>2017</v>
      </c>
      <c r="O1" s="176">
        <v>2018</v>
      </c>
      <c r="P1" s="176">
        <v>2019</v>
      </c>
      <c r="Q1" s="176">
        <v>2020</v>
      </c>
      <c r="R1" s="176">
        <v>2021</v>
      </c>
      <c r="S1" s="176">
        <v>2022</v>
      </c>
      <c r="T1" s="177">
        <v>2023</v>
      </c>
    </row>
    <row r="2" spans="1:20" x14ac:dyDescent="0.35">
      <c r="M2" s="2"/>
      <c r="N2" s="3" t="s">
        <v>794</v>
      </c>
      <c r="O2" s="4"/>
      <c r="P2" s="4"/>
      <c r="Q2" s="4"/>
      <c r="R2" s="4"/>
      <c r="S2" s="4"/>
      <c r="T2" s="5"/>
    </row>
    <row r="4" spans="1:20" x14ac:dyDescent="0.35">
      <c r="N4" s="6" t="s">
        <v>794</v>
      </c>
      <c r="O4" s="6" t="s">
        <v>794</v>
      </c>
      <c r="P4" s="6" t="s">
        <v>794</v>
      </c>
      <c r="Q4" s="6" t="s">
        <v>794</v>
      </c>
      <c r="R4" s="6" t="s">
        <v>794</v>
      </c>
      <c r="S4" s="6" t="s">
        <v>794</v>
      </c>
      <c r="T4" s="6" t="s">
        <v>794</v>
      </c>
    </row>
    <row r="5" spans="1:20" x14ac:dyDescent="0.35">
      <c r="C5" s="7" t="s">
        <v>416</v>
      </c>
    </row>
    <row r="6" spans="1:20" x14ac:dyDescent="0.35">
      <c r="C6" t="s">
        <v>795</v>
      </c>
    </row>
    <row r="8" spans="1:20" x14ac:dyDescent="0.35">
      <c r="C8" s="7" t="s">
        <v>418</v>
      </c>
    </row>
    <row r="9" spans="1:20" x14ac:dyDescent="0.35">
      <c r="C9" s="7"/>
    </row>
    <row r="10" spans="1:20" x14ac:dyDescent="0.35">
      <c r="C10" s="7"/>
    </row>
    <row r="11" spans="1:20" x14ac:dyDescent="0.35">
      <c r="C11" s="7"/>
    </row>
    <row r="16" spans="1:20" x14ac:dyDescent="0.35">
      <c r="C16" t="s">
        <v>796</v>
      </c>
    </row>
    <row r="18" spans="1:22" s="8" customFormat="1" ht="21" x14ac:dyDescent="0.5">
      <c r="C18" s="9" t="s">
        <v>797</v>
      </c>
      <c r="P18" s="10"/>
    </row>
    <row r="19" spans="1:22" ht="21" x14ac:dyDescent="0.5">
      <c r="C19" s="52"/>
      <c r="P19" s="53"/>
    </row>
    <row r="20" spans="1:22" x14ac:dyDescent="0.35">
      <c r="C20" s="7" t="s">
        <v>422</v>
      </c>
      <c r="P20" s="53"/>
    </row>
    <row r="21" spans="1:22" x14ac:dyDescent="0.35">
      <c r="C21" t="s">
        <v>798</v>
      </c>
      <c r="P21" s="53"/>
    </row>
    <row r="22" spans="1:22" x14ac:dyDescent="0.35">
      <c r="C22" t="s">
        <v>799</v>
      </c>
      <c r="P22" s="53"/>
    </row>
    <row r="23" spans="1:22" ht="21" x14ac:dyDescent="0.5">
      <c r="C23" s="52"/>
      <c r="P23" s="53"/>
    </row>
    <row r="24" spans="1:22" x14ac:dyDescent="0.35">
      <c r="C24" s="7" t="s">
        <v>800</v>
      </c>
      <c r="P24" s="53"/>
    </row>
    <row r="25" spans="1:22" x14ac:dyDescent="0.35">
      <c r="H25" s="181">
        <v>2011</v>
      </c>
      <c r="I25" s="182">
        <v>2012</v>
      </c>
      <c r="J25" s="182">
        <v>2013</v>
      </c>
      <c r="K25" s="182">
        <v>2014</v>
      </c>
      <c r="L25" s="182">
        <v>2015</v>
      </c>
      <c r="M25" s="182">
        <v>2016</v>
      </c>
      <c r="N25" s="45">
        <v>2017</v>
      </c>
      <c r="O25" s="45">
        <v>2018</v>
      </c>
      <c r="P25" s="45">
        <v>2019</v>
      </c>
      <c r="Q25" s="45">
        <v>2020</v>
      </c>
      <c r="R25" s="45">
        <v>2021</v>
      </c>
      <c r="S25" s="45">
        <v>2022</v>
      </c>
      <c r="T25" s="45">
        <v>2023</v>
      </c>
      <c r="U25" s="45">
        <v>2024</v>
      </c>
      <c r="V25" s="711">
        <v>2025</v>
      </c>
    </row>
    <row r="26" spans="1:22" x14ac:dyDescent="0.35">
      <c r="A26" t="s">
        <v>801</v>
      </c>
      <c r="B26" s="710">
        <v>45810</v>
      </c>
      <c r="C26" s="36" t="s">
        <v>436</v>
      </c>
      <c r="D26" s="19"/>
      <c r="E26" s="19"/>
      <c r="F26" s="24"/>
      <c r="G26" s="2"/>
      <c r="H26" s="44"/>
      <c r="I26" s="45"/>
      <c r="J26" s="45"/>
      <c r="K26" s="45"/>
      <c r="L26" s="45"/>
      <c r="M26" s="45"/>
      <c r="N26" s="45"/>
      <c r="O26" s="45"/>
      <c r="P26" s="45"/>
      <c r="Q26" s="45"/>
      <c r="R26" s="45"/>
      <c r="S26" s="45"/>
      <c r="T26" s="45"/>
      <c r="U26" s="45"/>
      <c r="V26" s="711"/>
    </row>
    <row r="27" spans="1:22" x14ac:dyDescent="0.35">
      <c r="C27" s="14" t="s">
        <v>802</v>
      </c>
      <c r="D27" s="2"/>
      <c r="E27" s="2" t="s">
        <v>803</v>
      </c>
      <c r="F27" s="26" t="s">
        <v>804</v>
      </c>
      <c r="G27" s="2"/>
      <c r="H27" s="47">
        <v>31.363308571180326</v>
      </c>
      <c r="I27" s="184">
        <v>67.44835908500707</v>
      </c>
      <c r="J27" s="184">
        <v>105.86454667883052</v>
      </c>
      <c r="K27" s="184">
        <v>127.74869069512624</v>
      </c>
      <c r="L27" s="184">
        <v>208.61298154664502</v>
      </c>
      <c r="M27" s="184">
        <v>264.27482610983196</v>
      </c>
      <c r="N27" s="184">
        <v>302.39367479039055</v>
      </c>
      <c r="O27" s="184">
        <v>377.29929382008095</v>
      </c>
      <c r="P27" s="184">
        <v>518.88019076028979</v>
      </c>
      <c r="Q27" s="184">
        <v>1340.5227565634186</v>
      </c>
      <c r="R27" s="184">
        <v>1969.8940874929406</v>
      </c>
      <c r="S27" s="184">
        <v>2466.2954564104048</v>
      </c>
      <c r="T27" s="184">
        <v>4277.3069347044857</v>
      </c>
      <c r="U27" s="184">
        <v>2624.71515287084</v>
      </c>
      <c r="V27" s="712">
        <v>2936.3222221761689</v>
      </c>
    </row>
    <row r="28" spans="1:22" x14ac:dyDescent="0.35">
      <c r="C28" s="14" t="s">
        <v>805</v>
      </c>
      <c r="D28" s="2"/>
      <c r="E28" s="2" t="s">
        <v>268</v>
      </c>
      <c r="F28" s="26" t="s">
        <v>806</v>
      </c>
      <c r="G28" s="2"/>
      <c r="H28" s="47">
        <v>0.14149847766722121</v>
      </c>
      <c r="I28" s="184">
        <v>1.6853479393577955</v>
      </c>
      <c r="J28" s="184">
        <v>2.1578517844251235</v>
      </c>
      <c r="K28" s="184">
        <v>5.2000690542703794</v>
      </c>
      <c r="L28" s="184">
        <v>14.705734643271917</v>
      </c>
      <c r="M28" s="184">
        <v>19.284221099218431</v>
      </c>
      <c r="N28" s="184">
        <v>30.545983866411376</v>
      </c>
      <c r="O28" s="184">
        <v>37.277268589723469</v>
      </c>
      <c r="P28" s="184">
        <v>47.475266015882482</v>
      </c>
      <c r="Q28" s="184">
        <v>189.40834615022445</v>
      </c>
      <c r="R28" s="184">
        <v>356.88442826202959</v>
      </c>
      <c r="S28" s="184">
        <v>322</v>
      </c>
      <c r="T28" s="184">
        <v>384.99999999999994</v>
      </c>
      <c r="U28" s="184">
        <v>175</v>
      </c>
      <c r="V28" s="712">
        <v>103.87768478370474</v>
      </c>
    </row>
    <row r="29" spans="1:22" x14ac:dyDescent="0.35">
      <c r="C29" s="14" t="s">
        <v>807</v>
      </c>
      <c r="D29" s="2"/>
      <c r="E29" s="2" t="s">
        <v>268</v>
      </c>
      <c r="F29" s="26" t="s">
        <v>808</v>
      </c>
      <c r="G29" s="2"/>
      <c r="H29" s="451">
        <v>0</v>
      </c>
      <c r="I29" s="450">
        <v>0</v>
      </c>
      <c r="J29" s="450">
        <v>0</v>
      </c>
      <c r="K29" s="450">
        <v>0</v>
      </c>
      <c r="L29" s="450">
        <v>0</v>
      </c>
      <c r="M29" s="450">
        <v>0</v>
      </c>
      <c r="N29" s="450">
        <v>0</v>
      </c>
      <c r="O29" s="450">
        <v>0</v>
      </c>
      <c r="P29" s="450">
        <v>0</v>
      </c>
      <c r="Q29" s="450">
        <v>0</v>
      </c>
      <c r="R29" s="450">
        <v>0</v>
      </c>
      <c r="S29" s="450">
        <v>0</v>
      </c>
      <c r="T29" s="450">
        <v>0</v>
      </c>
      <c r="U29" s="450">
        <v>0</v>
      </c>
      <c r="V29" s="712">
        <v>0</v>
      </c>
    </row>
    <row r="30" spans="1:22" x14ac:dyDescent="0.35">
      <c r="C30" s="14" t="s">
        <v>582</v>
      </c>
      <c r="D30" s="2"/>
      <c r="E30" s="2" t="s">
        <v>268</v>
      </c>
      <c r="F30" s="26" t="s">
        <v>808</v>
      </c>
      <c r="G30" s="2"/>
      <c r="H30" s="47">
        <v>7281.6647797435371</v>
      </c>
      <c r="I30" s="184">
        <v>6843.5176402333182</v>
      </c>
      <c r="J30" s="184">
        <v>6294.828711918316</v>
      </c>
      <c r="K30" s="184">
        <v>6254.0614343363422</v>
      </c>
      <c r="L30" s="184">
        <v>6466.7467726249261</v>
      </c>
      <c r="M30" s="184">
        <v>6698.8810482111821</v>
      </c>
      <c r="N30" s="184">
        <v>6707.8267552850139</v>
      </c>
      <c r="O30" s="184">
        <v>5800.132046754502</v>
      </c>
      <c r="P30" s="184">
        <v>5167.6492795774684</v>
      </c>
      <c r="Q30" s="184">
        <v>3378.1502351424651</v>
      </c>
      <c r="R30" s="184">
        <v>2650.4216590910028</v>
      </c>
      <c r="S30" s="184">
        <v>1882.941373049387</v>
      </c>
      <c r="T30" s="184">
        <v>1428.7282991584002</v>
      </c>
      <c r="U30" s="184">
        <v>1203.8884676522016</v>
      </c>
      <c r="V30" s="712">
        <v>1225.9228298363321</v>
      </c>
    </row>
    <row r="31" spans="1:22" x14ac:dyDescent="0.35">
      <c r="C31" s="14" t="s">
        <v>583</v>
      </c>
      <c r="D31" s="2"/>
      <c r="E31" s="2" t="s">
        <v>268</v>
      </c>
      <c r="F31" s="26" t="s">
        <v>808</v>
      </c>
      <c r="G31" s="2"/>
      <c r="H31" s="47">
        <v>1063.4953059812237</v>
      </c>
      <c r="I31" s="184">
        <v>881.99184045594961</v>
      </c>
      <c r="J31" s="184">
        <v>1007.54807061221</v>
      </c>
      <c r="K31" s="184">
        <v>1273.1781400074995</v>
      </c>
      <c r="L31" s="184">
        <v>1721.3242368223976</v>
      </c>
      <c r="M31" s="184">
        <v>2294.9193607032853</v>
      </c>
      <c r="N31" s="184">
        <v>2721.6281457022928</v>
      </c>
      <c r="O31" s="184">
        <v>3403.6443420288374</v>
      </c>
      <c r="P31" s="184">
        <v>4457.587458814337</v>
      </c>
      <c r="Q31" s="184">
        <v>2198.7865818163782</v>
      </c>
      <c r="R31" s="184">
        <v>2736.3202775318669</v>
      </c>
      <c r="S31" s="184">
        <v>2433.410137992088</v>
      </c>
      <c r="T31" s="184">
        <v>2580.3918581189682</v>
      </c>
      <c r="U31" s="184">
        <v>2010.4291367238357</v>
      </c>
      <c r="V31" s="712">
        <v>2047.2253391415659</v>
      </c>
    </row>
    <row r="32" spans="1:22" x14ac:dyDescent="0.35">
      <c r="C32" s="20" t="s">
        <v>809</v>
      </c>
      <c r="D32" s="21"/>
      <c r="E32" s="21" t="s">
        <v>268</v>
      </c>
      <c r="F32" s="27" t="s">
        <v>808</v>
      </c>
      <c r="G32" s="2"/>
      <c r="H32" s="197">
        <v>7.2622221855357925</v>
      </c>
      <c r="I32" s="198">
        <v>19.675847227495908</v>
      </c>
      <c r="J32" s="198">
        <v>33.038006994307153</v>
      </c>
      <c r="K32" s="198">
        <v>30.575447166197556</v>
      </c>
      <c r="L32" s="198">
        <v>48.329151113913149</v>
      </c>
      <c r="M32" s="198">
        <v>40.336380183407023</v>
      </c>
      <c r="N32" s="198">
        <v>52.688502922582543</v>
      </c>
      <c r="O32" s="198">
        <v>73.93974247406166</v>
      </c>
      <c r="P32" s="198">
        <v>108.47173535093592</v>
      </c>
      <c r="Q32" s="198">
        <v>147.79427604200893</v>
      </c>
      <c r="R32" s="198">
        <v>332.41364245643649</v>
      </c>
      <c r="S32" s="198">
        <v>376.3173310827583</v>
      </c>
      <c r="T32" s="198">
        <v>468.01314168563482</v>
      </c>
      <c r="U32" s="198">
        <v>930.73863854074864</v>
      </c>
      <c r="V32" s="713">
        <v>947.77363207330234</v>
      </c>
    </row>
    <row r="33" spans="3:22" x14ac:dyDescent="0.35">
      <c r="C33" s="115" t="s">
        <v>810</v>
      </c>
    </row>
    <row r="34" spans="3:22" x14ac:dyDescent="0.35">
      <c r="C34" s="260" t="s">
        <v>811</v>
      </c>
      <c r="D34" s="73"/>
      <c r="E34" s="73"/>
      <c r="F34" s="29"/>
      <c r="H34" s="741">
        <f>SUM(H29:H32)</f>
        <v>8352.4223079102976</v>
      </c>
      <c r="I34" s="742">
        <f t="shared" ref="I34:V34" si="0">SUM(I29:I32)</f>
        <v>7745.1853279167635</v>
      </c>
      <c r="J34" s="742">
        <f t="shared" si="0"/>
        <v>7335.4147895248334</v>
      </c>
      <c r="K34" s="742">
        <f t="shared" si="0"/>
        <v>7557.8150215100395</v>
      </c>
      <c r="L34" s="742">
        <f t="shared" si="0"/>
        <v>8236.4001605612357</v>
      </c>
      <c r="M34" s="742">
        <f t="shared" si="0"/>
        <v>9034.1367890978745</v>
      </c>
      <c r="N34" s="742">
        <f t="shared" si="0"/>
        <v>9482.1434039098895</v>
      </c>
      <c r="O34" s="742">
        <f t="shared" si="0"/>
        <v>9277.7161312574008</v>
      </c>
      <c r="P34" s="742">
        <f t="shared" si="0"/>
        <v>9733.7084737427431</v>
      </c>
      <c r="Q34" s="742">
        <f t="shared" si="0"/>
        <v>5724.7310930008525</v>
      </c>
      <c r="R34" s="742">
        <f t="shared" si="0"/>
        <v>5719.1555790793063</v>
      </c>
      <c r="S34" s="742">
        <f t="shared" si="0"/>
        <v>4692.6688421242343</v>
      </c>
      <c r="T34" s="742">
        <f t="shared" si="0"/>
        <v>4477.1332989630037</v>
      </c>
      <c r="U34" s="742">
        <f t="shared" si="0"/>
        <v>4145.0562429167858</v>
      </c>
      <c r="V34" s="743">
        <f t="shared" si="0"/>
        <v>4220.9218010512004</v>
      </c>
    </row>
    <row r="35" spans="3:22" x14ac:dyDescent="0.35">
      <c r="C35" s="20" t="s">
        <v>812</v>
      </c>
      <c r="D35" s="100"/>
      <c r="E35" s="100"/>
      <c r="F35" s="33"/>
      <c r="H35" s="716">
        <f>SUM(H26:H32)</f>
        <v>8383.9271149591441</v>
      </c>
      <c r="I35" s="213">
        <f t="shared" ref="I35:V35" si="1">SUM(I26:I32)</f>
        <v>7814.3190349411279</v>
      </c>
      <c r="J35" s="213">
        <f t="shared" si="1"/>
        <v>7443.4371879880891</v>
      </c>
      <c r="K35" s="213">
        <f t="shared" si="1"/>
        <v>7690.7637812594357</v>
      </c>
      <c r="L35" s="213">
        <f t="shared" si="1"/>
        <v>8459.7188767511525</v>
      </c>
      <c r="M35" s="213">
        <f t="shared" si="1"/>
        <v>9317.6958363069261</v>
      </c>
      <c r="N35" s="213">
        <f t="shared" si="1"/>
        <v>9815.0830625666913</v>
      </c>
      <c r="O35" s="213">
        <f t="shared" si="1"/>
        <v>9692.2926936672065</v>
      </c>
      <c r="P35" s="213">
        <f t="shared" si="1"/>
        <v>10300.063930518914</v>
      </c>
      <c r="Q35" s="213">
        <f t="shared" si="1"/>
        <v>7254.6621957144953</v>
      </c>
      <c r="R35" s="213">
        <f t="shared" si="1"/>
        <v>8045.9340948342769</v>
      </c>
      <c r="S35" s="213">
        <f t="shared" si="1"/>
        <v>7480.9642985346381</v>
      </c>
      <c r="T35" s="213">
        <f t="shared" si="1"/>
        <v>9139.4402336674884</v>
      </c>
      <c r="U35" s="213">
        <f t="shared" si="1"/>
        <v>6944.7713957876267</v>
      </c>
      <c r="V35" s="214">
        <f t="shared" si="1"/>
        <v>7261.1217080110737</v>
      </c>
    </row>
    <row r="37" spans="3:22" x14ac:dyDescent="0.35">
      <c r="C37" s="15" t="s">
        <v>813</v>
      </c>
    </row>
    <row r="38" spans="3:22" x14ac:dyDescent="0.35">
      <c r="C38" s="260" t="s">
        <v>814</v>
      </c>
      <c r="D38" s="73"/>
      <c r="E38" s="73" t="s">
        <v>464</v>
      </c>
      <c r="F38" s="29"/>
      <c r="H38" s="758">
        <f>-(N35-T35)/N35</f>
        <v>-6.8837199297477877E-2</v>
      </c>
    </row>
    <row r="39" spans="3:22" x14ac:dyDescent="0.35">
      <c r="C39" s="14" t="s">
        <v>815</v>
      </c>
      <c r="E39" t="s">
        <v>464</v>
      </c>
      <c r="F39" s="31"/>
      <c r="H39" s="253">
        <f>-(H35-T35)/H35</f>
        <v>9.0114466448582203E-2</v>
      </c>
    </row>
    <row r="40" spans="3:22" x14ac:dyDescent="0.35">
      <c r="C40" s="14" t="s">
        <v>816</v>
      </c>
      <c r="E40" t="s">
        <v>817</v>
      </c>
      <c r="F40" s="31"/>
      <c r="H40" s="251">
        <f>AVERAGE(Q35:V35)</f>
        <v>7687.8156544249332</v>
      </c>
    </row>
    <row r="41" spans="3:22" x14ac:dyDescent="0.35">
      <c r="C41" s="20" t="s">
        <v>818</v>
      </c>
      <c r="D41" s="100"/>
      <c r="E41" s="100" t="s">
        <v>817</v>
      </c>
      <c r="F41" s="33"/>
      <c r="H41" s="736">
        <f>AVERAGE(K35:Q35)</f>
        <v>8932.897196683547</v>
      </c>
    </row>
    <row r="43" spans="3:22" x14ac:dyDescent="0.35">
      <c r="C43" s="15" t="s">
        <v>819</v>
      </c>
    </row>
    <row r="44" spans="3:22" x14ac:dyDescent="0.35">
      <c r="C44" s="260" t="s">
        <v>814</v>
      </c>
      <c r="D44" s="73"/>
      <c r="E44" s="73" t="s">
        <v>464</v>
      </c>
      <c r="F44" s="29"/>
      <c r="H44" s="758">
        <f>-(1-(N34-T34)/N34)</f>
        <v>-0.47216468980176907</v>
      </c>
    </row>
    <row r="45" spans="3:22" x14ac:dyDescent="0.35">
      <c r="C45" s="14" t="s">
        <v>815</v>
      </c>
      <c r="E45" t="s">
        <v>464</v>
      </c>
      <c r="F45" s="31"/>
      <c r="H45" s="253">
        <f>-(1-(H34-T34)/H34)</f>
        <v>-0.5360281285972408</v>
      </c>
    </row>
    <row r="46" spans="3:22" x14ac:dyDescent="0.35">
      <c r="C46" s="14" t="s">
        <v>816</v>
      </c>
      <c r="E46" t="s">
        <v>817</v>
      </c>
      <c r="F46" s="31"/>
      <c r="H46" s="251">
        <f>AVERAGE(Q34:V34)</f>
        <v>4829.944476189231</v>
      </c>
    </row>
    <row r="47" spans="3:22" x14ac:dyDescent="0.35">
      <c r="C47" s="20" t="s">
        <v>818</v>
      </c>
      <c r="D47" s="100"/>
      <c r="E47" s="100" t="s">
        <v>817</v>
      </c>
      <c r="F47" s="33"/>
      <c r="H47" s="736">
        <f>AVERAGE(K34:Q34)</f>
        <v>8435.2358675828618</v>
      </c>
    </row>
    <row r="48" spans="3:22" x14ac:dyDescent="0.35">
      <c r="C48" s="115"/>
    </row>
    <row r="49" spans="1:22" x14ac:dyDescent="0.35">
      <c r="C49" s="115"/>
    </row>
    <row r="50" spans="1:22" x14ac:dyDescent="0.35">
      <c r="H50" s="181">
        <v>2011</v>
      </c>
      <c r="I50" s="182">
        <v>2012</v>
      </c>
      <c r="J50" s="182">
        <v>2013</v>
      </c>
      <c r="K50" s="182">
        <v>2014</v>
      </c>
      <c r="L50" s="182">
        <v>2015</v>
      </c>
      <c r="M50" s="182">
        <v>2016</v>
      </c>
      <c r="N50" s="45">
        <v>2017</v>
      </c>
      <c r="O50" s="45">
        <v>2018</v>
      </c>
      <c r="P50" s="45">
        <v>2019</v>
      </c>
      <c r="Q50" s="45">
        <v>2020</v>
      </c>
      <c r="R50" s="45">
        <v>2021</v>
      </c>
      <c r="S50" s="45">
        <v>2022</v>
      </c>
      <c r="T50" s="45">
        <v>2023</v>
      </c>
      <c r="U50" s="45">
        <v>2024</v>
      </c>
      <c r="V50" s="711">
        <v>2025</v>
      </c>
    </row>
    <row r="51" spans="1:22" x14ac:dyDescent="0.35">
      <c r="A51" t="s">
        <v>801</v>
      </c>
      <c r="B51" s="710">
        <v>45810</v>
      </c>
      <c r="C51" s="36" t="s">
        <v>436</v>
      </c>
      <c r="D51" s="19"/>
      <c r="E51" s="19"/>
      <c r="F51" s="24"/>
      <c r="G51" s="2"/>
      <c r="H51" s="44"/>
      <c r="I51" s="45"/>
      <c r="J51" s="45"/>
      <c r="K51" s="45"/>
      <c r="L51" s="45"/>
      <c r="M51" s="45"/>
      <c r="N51" s="45"/>
      <c r="O51" s="45"/>
      <c r="P51" s="45"/>
      <c r="Q51" s="45"/>
      <c r="R51" s="45"/>
      <c r="S51" s="45"/>
      <c r="T51" s="45"/>
      <c r="U51" s="45"/>
      <c r="V51" s="711"/>
    </row>
    <row r="52" spans="1:22" x14ac:dyDescent="0.35">
      <c r="C52" s="14" t="s">
        <v>804</v>
      </c>
      <c r="D52" s="2"/>
      <c r="E52" s="2" t="s">
        <v>444</v>
      </c>
      <c r="F52" s="26"/>
      <c r="G52" s="2"/>
      <c r="H52" s="47">
        <v>0.81500068511166379</v>
      </c>
      <c r="I52" s="184">
        <v>1.7206997589866773</v>
      </c>
      <c r="J52" s="184">
        <v>2.2361015098964927</v>
      </c>
      <c r="K52" s="184">
        <v>2.8178492628562877</v>
      </c>
      <c r="L52" s="184">
        <v>4.9951768176245857</v>
      </c>
      <c r="M52" s="184">
        <v>6.7416980357028162</v>
      </c>
      <c r="N52" s="184">
        <v>7.7837921580676985</v>
      </c>
      <c r="O52" s="184">
        <v>10.707141904965418</v>
      </c>
      <c r="P52" s="184">
        <v>19.064445419411307</v>
      </c>
      <c r="Q52" s="184">
        <v>44.291739124622168</v>
      </c>
      <c r="R52" s="184">
        <v>66.442954796147944</v>
      </c>
      <c r="S52" s="184">
        <v>83.628586661205205</v>
      </c>
      <c r="T52" s="184">
        <v>153.96682930599582</v>
      </c>
      <c r="U52" s="184">
        <v>96.119893224359004</v>
      </c>
      <c r="V52" s="712">
        <v>101.89438673840966</v>
      </c>
    </row>
    <row r="53" spans="1:22" x14ac:dyDescent="0.35">
      <c r="C53" s="14" t="s">
        <v>806</v>
      </c>
      <c r="D53" s="2"/>
      <c r="E53" s="2" t="s">
        <v>268</v>
      </c>
      <c r="F53" s="26"/>
      <c r="G53" s="2"/>
      <c r="H53" s="47">
        <v>5.2354436736871844E-3</v>
      </c>
      <c r="I53" s="184">
        <v>6.2357873756238434E-2</v>
      </c>
      <c r="J53" s="184">
        <v>7.984051602372956E-2</v>
      </c>
      <c r="K53" s="184">
        <v>0.28028372202517349</v>
      </c>
      <c r="L53" s="184">
        <v>0.66155827890204055</v>
      </c>
      <c r="M53" s="184">
        <v>0.97007294424790247</v>
      </c>
      <c r="N53" s="184">
        <v>1.5996350373086961</v>
      </c>
      <c r="O53" s="184">
        <v>1.8866196511693787</v>
      </c>
      <c r="P53" s="184">
        <v>2.2216831859361874</v>
      </c>
      <c r="Q53" s="184">
        <v>8.8388322277793989</v>
      </c>
      <c r="R53" s="184">
        <v>15.51071564161022</v>
      </c>
      <c r="S53" s="184">
        <v>15.801099246411692</v>
      </c>
      <c r="T53" s="184">
        <v>16.86361676606149</v>
      </c>
      <c r="U53" s="184">
        <v>10.603171472396761</v>
      </c>
      <c r="V53" s="712">
        <v>6.4335116559481555</v>
      </c>
    </row>
    <row r="54" spans="1:22" x14ac:dyDescent="0.35">
      <c r="C54" s="14" t="s">
        <v>820</v>
      </c>
      <c r="D54" s="2"/>
      <c r="E54" s="2" t="s">
        <v>268</v>
      </c>
      <c r="F54" s="26"/>
      <c r="G54" s="2"/>
      <c r="H54" s="47">
        <v>0</v>
      </c>
      <c r="I54" s="184">
        <v>0</v>
      </c>
      <c r="J54" s="184">
        <v>0</v>
      </c>
      <c r="K54" s="184">
        <v>0</v>
      </c>
      <c r="L54" s="184">
        <v>0</v>
      </c>
      <c r="M54" s="184">
        <v>0</v>
      </c>
      <c r="N54" s="184">
        <v>0</v>
      </c>
      <c r="O54" s="184">
        <v>0</v>
      </c>
      <c r="P54" s="184">
        <v>0</v>
      </c>
      <c r="Q54" s="184">
        <v>0</v>
      </c>
      <c r="R54" s="184">
        <v>0</v>
      </c>
      <c r="S54" s="184">
        <v>0</v>
      </c>
      <c r="T54" s="184">
        <v>0</v>
      </c>
      <c r="U54" s="184">
        <v>0</v>
      </c>
      <c r="V54" s="712">
        <v>0</v>
      </c>
    </row>
    <row r="55" spans="1:22" x14ac:dyDescent="0.35">
      <c r="A55" s="984" t="s">
        <v>792</v>
      </c>
      <c r="C55" s="14" t="s">
        <v>808</v>
      </c>
      <c r="D55" s="2"/>
      <c r="E55" s="2" t="s">
        <v>268</v>
      </c>
      <c r="F55" s="26"/>
      <c r="G55" s="2"/>
      <c r="H55" s="47">
        <v>187.48980783441112</v>
      </c>
      <c r="I55" s="184">
        <v>185.28098764313265</v>
      </c>
      <c r="J55" s="184">
        <v>181.43131163013254</v>
      </c>
      <c r="K55" s="184">
        <v>190.04010150669967</v>
      </c>
      <c r="L55" s="184">
        <v>214.97074076776076</v>
      </c>
      <c r="M55" s="184">
        <v>245.0111891718212</v>
      </c>
      <c r="N55" s="184">
        <v>268.69410011674472</v>
      </c>
      <c r="O55" s="184">
        <v>258.58625995041234</v>
      </c>
      <c r="P55" s="184">
        <v>264.7505467641987</v>
      </c>
      <c r="Q55" s="184">
        <v>158.97019121650223</v>
      </c>
      <c r="R55" s="184">
        <v>156.86238979582416</v>
      </c>
      <c r="S55" s="184">
        <v>135.31485584779668</v>
      </c>
      <c r="T55" s="184">
        <v>131.26473492305095</v>
      </c>
      <c r="U55" s="184">
        <v>121.45915802243005</v>
      </c>
      <c r="V55" s="712">
        <v>124.94989953064142</v>
      </c>
    </row>
    <row r="56" spans="1:22" x14ac:dyDescent="0.35">
      <c r="C56" s="20" t="s">
        <v>821</v>
      </c>
      <c r="D56" s="21"/>
      <c r="E56" s="21" t="s">
        <v>268</v>
      </c>
      <c r="F56" s="27"/>
      <c r="G56" s="2"/>
      <c r="H56" s="197">
        <v>0</v>
      </c>
      <c r="I56" s="198">
        <v>0</v>
      </c>
      <c r="J56" s="198">
        <v>0</v>
      </c>
      <c r="K56" s="198">
        <v>0</v>
      </c>
      <c r="L56" s="198">
        <v>0</v>
      </c>
      <c r="M56" s="198">
        <v>0</v>
      </c>
      <c r="N56" s="198">
        <v>0</v>
      </c>
      <c r="O56" s="198">
        <v>0</v>
      </c>
      <c r="P56" s="198">
        <v>0</v>
      </c>
      <c r="Q56" s="198">
        <v>0</v>
      </c>
      <c r="R56" s="198">
        <v>0</v>
      </c>
      <c r="S56" s="198">
        <v>0</v>
      </c>
      <c r="T56" s="198">
        <v>0</v>
      </c>
      <c r="U56" s="198">
        <v>0</v>
      </c>
      <c r="V56" s="713">
        <v>0</v>
      </c>
    </row>
    <row r="57" spans="1:22" x14ac:dyDescent="0.35">
      <c r="C57" s="355" t="s">
        <v>277</v>
      </c>
      <c r="D57" s="17"/>
      <c r="E57" s="17"/>
      <c r="F57" s="23"/>
      <c r="G57" s="2"/>
      <c r="H57" s="755">
        <f>SUM(H51:H56)</f>
        <v>188.31004396319648</v>
      </c>
      <c r="I57" s="756">
        <f t="shared" ref="I57:V57" si="2">SUM(I51:I56)</f>
        <v>187.06404527587557</v>
      </c>
      <c r="J57" s="756">
        <f t="shared" si="2"/>
        <v>183.74725365605275</v>
      </c>
      <c r="K57" s="756">
        <f t="shared" si="2"/>
        <v>193.13823449158113</v>
      </c>
      <c r="L57" s="756">
        <f t="shared" si="2"/>
        <v>220.62747586428739</v>
      </c>
      <c r="M57" s="756">
        <f t="shared" si="2"/>
        <v>252.72296015177193</v>
      </c>
      <c r="N57" s="756">
        <f t="shared" si="2"/>
        <v>278.07752731212111</v>
      </c>
      <c r="O57" s="756">
        <f t="shared" si="2"/>
        <v>271.18002150654712</v>
      </c>
      <c r="P57" s="756">
        <f t="shared" si="2"/>
        <v>286.03667536954617</v>
      </c>
      <c r="Q57" s="756">
        <f t="shared" si="2"/>
        <v>212.1007625689038</v>
      </c>
      <c r="R57" s="756">
        <f t="shared" si="2"/>
        <v>238.81606023358233</v>
      </c>
      <c r="S57" s="756">
        <f t="shared" si="2"/>
        <v>234.74454175541359</v>
      </c>
      <c r="T57" s="756">
        <f t="shared" si="2"/>
        <v>302.09518099510825</v>
      </c>
      <c r="U57" s="756">
        <f t="shared" si="2"/>
        <v>228.1822227191858</v>
      </c>
      <c r="V57" s="757">
        <f t="shared" si="2"/>
        <v>233.27779792499922</v>
      </c>
    </row>
    <row r="59" spans="1:22" x14ac:dyDescent="0.35">
      <c r="A59" t="s">
        <v>822</v>
      </c>
      <c r="B59" s="710">
        <v>45810</v>
      </c>
      <c r="C59" s="35" t="s">
        <v>823</v>
      </c>
      <c r="H59" s="58"/>
      <c r="N59" s="83"/>
    </row>
    <row r="60" spans="1:22" x14ac:dyDescent="0.35">
      <c r="C60" s="16"/>
      <c r="D60" s="17"/>
      <c r="E60" s="17" t="s">
        <v>431</v>
      </c>
      <c r="F60" s="17" t="s">
        <v>432</v>
      </c>
      <c r="G60" s="2"/>
      <c r="H60" s="179">
        <v>2011</v>
      </c>
      <c r="I60" s="180">
        <v>2012</v>
      </c>
      <c r="J60" s="180">
        <v>2013</v>
      </c>
      <c r="K60" s="180">
        <v>2014</v>
      </c>
      <c r="L60" s="180">
        <v>2015</v>
      </c>
      <c r="M60" s="180">
        <v>2016</v>
      </c>
      <c r="N60" s="12">
        <v>2017</v>
      </c>
      <c r="O60" s="12">
        <v>2018</v>
      </c>
      <c r="P60" s="12">
        <v>2019</v>
      </c>
      <c r="Q60" s="12">
        <v>2020</v>
      </c>
      <c r="R60" s="12">
        <v>2021</v>
      </c>
      <c r="S60" s="12">
        <v>2022</v>
      </c>
      <c r="T60" s="12">
        <v>2023</v>
      </c>
      <c r="U60" s="12">
        <v>2024</v>
      </c>
      <c r="V60" s="709">
        <v>2025</v>
      </c>
    </row>
    <row r="61" spans="1:22" x14ac:dyDescent="0.35">
      <c r="C61" s="260" t="s">
        <v>802</v>
      </c>
      <c r="D61" s="19"/>
      <c r="E61" s="19" t="s">
        <v>824</v>
      </c>
      <c r="F61" s="24" t="s">
        <v>804</v>
      </c>
      <c r="G61" s="2"/>
      <c r="H61" s="201">
        <v>35.682366304497073</v>
      </c>
      <c r="I61" s="69">
        <v>29.940572660620649</v>
      </c>
      <c r="J61" s="69">
        <v>30.47491800544125</v>
      </c>
      <c r="K61" s="69">
        <v>30.197282593452574</v>
      </c>
      <c r="L61" s="69">
        <v>29.592352427444848</v>
      </c>
      <c r="M61" s="69">
        <v>30.996284791189151</v>
      </c>
      <c r="N61" s="69">
        <v>30.383786258220873</v>
      </c>
      <c r="O61" s="69">
        <v>35.864014896421146</v>
      </c>
      <c r="P61" s="69">
        <v>42.111615523075521</v>
      </c>
      <c r="Q61" s="69">
        <v>36.812125544930247</v>
      </c>
      <c r="R61" s="69">
        <v>33.710669849040698</v>
      </c>
      <c r="S61" s="69">
        <v>33.888290377942276</v>
      </c>
      <c r="T61" s="69">
        <v>35.97341684090906</v>
      </c>
      <c r="U61" s="69">
        <v>36.580042525757705</v>
      </c>
      <c r="V61" s="714">
        <v>34.662481657170282</v>
      </c>
    </row>
    <row r="62" spans="1:22" x14ac:dyDescent="0.35">
      <c r="C62" s="14" t="s">
        <v>805</v>
      </c>
      <c r="D62" s="2"/>
      <c r="E62" s="2" t="s">
        <v>268</v>
      </c>
      <c r="F62" s="26" t="s">
        <v>806</v>
      </c>
      <c r="G62" s="2"/>
      <c r="H62" s="47">
        <v>37</v>
      </c>
      <c r="I62" s="184">
        <v>37</v>
      </c>
      <c r="J62" s="184">
        <v>37</v>
      </c>
      <c r="K62" s="184">
        <v>53.900000000000006</v>
      </c>
      <c r="L62" s="184">
        <v>44.986414820473648</v>
      </c>
      <c r="M62" s="184">
        <v>50.303973349860549</v>
      </c>
      <c r="N62" s="184">
        <v>52.368096712958341</v>
      </c>
      <c r="O62" s="184">
        <v>50.610458398485733</v>
      </c>
      <c r="P62" s="184">
        <v>46.796645335129675</v>
      </c>
      <c r="Q62" s="184">
        <v>46.665484427856747</v>
      </c>
      <c r="R62" s="184">
        <v>43.461452541218847</v>
      </c>
      <c r="S62" s="184">
        <v>49.07173679009842</v>
      </c>
      <c r="T62" s="184">
        <v>43.801601989770113</v>
      </c>
      <c r="U62" s="184">
        <v>60.589551270838641</v>
      </c>
      <c r="V62" s="712">
        <v>61.933529509673662</v>
      </c>
    </row>
    <row r="63" spans="1:22" x14ac:dyDescent="0.35">
      <c r="C63" s="14" t="s">
        <v>807</v>
      </c>
      <c r="D63" s="2"/>
      <c r="E63" s="2" t="s">
        <v>268</v>
      </c>
      <c r="F63" s="26" t="s">
        <v>808</v>
      </c>
      <c r="G63" s="2"/>
      <c r="H63" s="47">
        <v>25.792210967155043</v>
      </c>
      <c r="I63" s="184">
        <v>25.792210967155043</v>
      </c>
      <c r="J63" s="184">
        <v>25.792210967155043</v>
      </c>
      <c r="K63" s="184">
        <v>25.792210967155043</v>
      </c>
      <c r="L63" s="184">
        <v>25.792210967155043</v>
      </c>
      <c r="M63" s="184">
        <v>25.792210967155043</v>
      </c>
      <c r="N63" s="184">
        <v>25.792210967155043</v>
      </c>
      <c r="O63" s="184">
        <v>25.532628856186701</v>
      </c>
      <c r="P63" s="184">
        <v>26.492613206357216</v>
      </c>
      <c r="Q63" s="184">
        <v>28.681317527583701</v>
      </c>
      <c r="R63" s="184">
        <v>27.671624909589685</v>
      </c>
      <c r="S63" s="184">
        <v>25.906118092847016</v>
      </c>
      <c r="T63" s="184">
        <v>26.06295864425692</v>
      </c>
      <c r="U63" s="184">
        <v>25.997816966189067</v>
      </c>
      <c r="V63" s="712">
        <v>24.333622078526115</v>
      </c>
    </row>
    <row r="64" spans="1:22" x14ac:dyDescent="0.35">
      <c r="C64" s="14" t="s">
        <v>582</v>
      </c>
      <c r="D64" s="2"/>
      <c r="E64" s="2" t="s">
        <v>268</v>
      </c>
      <c r="F64" s="26" t="s">
        <v>808</v>
      </c>
      <c r="G64" s="2"/>
      <c r="H64" s="47">
        <v>23.258752449304325</v>
      </c>
      <c r="I64" s="184">
        <v>24.691766563196122</v>
      </c>
      <c r="J64" s="184">
        <v>25.703112156218605</v>
      </c>
      <c r="K64" s="184">
        <v>26.367459695609053</v>
      </c>
      <c r="L64" s="184">
        <v>27.625010287969356</v>
      </c>
      <c r="M64" s="184">
        <v>29.03551745543167</v>
      </c>
      <c r="N64" s="184">
        <v>30.653566734641377</v>
      </c>
      <c r="O64" s="184">
        <v>31.055804645640933</v>
      </c>
      <c r="P64" s="184">
        <v>30.609038064509768</v>
      </c>
      <c r="Q64" s="184">
        <v>30.162271483378603</v>
      </c>
      <c r="R64" s="184">
        <v>30.569123589330331</v>
      </c>
      <c r="S64" s="184">
        <v>32.856213642073271</v>
      </c>
      <c r="T64" s="184">
        <v>34.169764727003141</v>
      </c>
      <c r="U64" s="184">
        <v>34.666705513558469</v>
      </c>
      <c r="V64" s="712">
        <v>35.662510253673965</v>
      </c>
    </row>
    <row r="65" spans="3:22" x14ac:dyDescent="0.35">
      <c r="C65" s="14" t="s">
        <v>583</v>
      </c>
      <c r="D65" s="2"/>
      <c r="E65" s="2" t="s">
        <v>268</v>
      </c>
      <c r="F65" s="26" t="s">
        <v>808</v>
      </c>
      <c r="G65" s="2"/>
      <c r="H65" s="47">
        <v>16.868960714674856</v>
      </c>
      <c r="I65" s="184">
        <v>17.908288118133179</v>
      </c>
      <c r="J65" s="184">
        <v>18.641790446550893</v>
      </c>
      <c r="K65" s="184">
        <v>19.123624223633101</v>
      </c>
      <c r="L65" s="184">
        <v>20.379820508232637</v>
      </c>
      <c r="M65" s="184">
        <v>21.554285516212836</v>
      </c>
      <c r="N65" s="184">
        <v>22.676254338321606</v>
      </c>
      <c r="O65" s="184">
        <v>22.496656081148814</v>
      </c>
      <c r="P65" s="184">
        <v>23.263721573885565</v>
      </c>
      <c r="Q65" s="184">
        <v>24.030787066622317</v>
      </c>
      <c r="R65" s="184">
        <v>24.35493295633492</v>
      </c>
      <c r="S65" s="184">
        <v>26.177095922076493</v>
      </c>
      <c r="T65" s="184">
        <v>27.223624080291472</v>
      </c>
      <c r="U65" s="184">
        <v>27.619545131297585</v>
      </c>
      <c r="V65" s="712">
        <v>28.412919452685674</v>
      </c>
    </row>
    <row r="66" spans="3:22" x14ac:dyDescent="0.35">
      <c r="C66" s="14" t="s">
        <v>809</v>
      </c>
      <c r="D66" s="2"/>
      <c r="E66" s="2" t="s">
        <v>268</v>
      </c>
      <c r="F66" s="26" t="s">
        <v>808</v>
      </c>
      <c r="G66" s="2"/>
      <c r="H66" s="47">
        <v>25.792210967155043</v>
      </c>
      <c r="I66" s="184">
        <v>25.792210967155043</v>
      </c>
      <c r="J66" s="184">
        <v>25.792210967155043</v>
      </c>
      <c r="K66" s="184">
        <v>25.792210967155043</v>
      </c>
      <c r="L66" s="184">
        <v>25.792210967155043</v>
      </c>
      <c r="M66" s="184">
        <v>25.792210967155043</v>
      </c>
      <c r="N66" s="184">
        <v>25.792210967155043</v>
      </c>
      <c r="O66" s="184">
        <v>25.532628856186701</v>
      </c>
      <c r="P66" s="184">
        <v>26.492613206357216</v>
      </c>
      <c r="Q66" s="184">
        <v>28.681317527583701</v>
      </c>
      <c r="R66" s="184">
        <v>27.671624909589685</v>
      </c>
      <c r="S66" s="184">
        <v>25.906118092847016</v>
      </c>
      <c r="T66" s="184">
        <v>26.06295864425692</v>
      </c>
      <c r="U66" s="184">
        <v>25.997816966189067</v>
      </c>
      <c r="V66" s="712">
        <v>24.333622078526115</v>
      </c>
    </row>
    <row r="67" spans="3:22" x14ac:dyDescent="0.35">
      <c r="C67" s="20" t="s">
        <v>825</v>
      </c>
      <c r="D67" s="21"/>
      <c r="E67" s="21" t="s">
        <v>268</v>
      </c>
      <c r="F67" s="27" t="s">
        <v>821</v>
      </c>
      <c r="G67" s="2"/>
      <c r="H67" s="197"/>
      <c r="I67" s="198"/>
      <c r="J67" s="198"/>
      <c r="K67" s="198"/>
      <c r="L67" s="198"/>
      <c r="M67" s="198"/>
      <c r="N67" s="198"/>
      <c r="O67" s="198"/>
      <c r="P67" s="198"/>
      <c r="Q67" s="198"/>
      <c r="R67" s="198"/>
      <c r="S67" s="198"/>
      <c r="T67" s="198"/>
      <c r="U67" s="198"/>
      <c r="V67" s="713"/>
    </row>
    <row r="68" spans="3:22" x14ac:dyDescent="0.35">
      <c r="C68" s="37"/>
      <c r="D68" s="2"/>
      <c r="E68" s="25"/>
      <c r="F68" s="2"/>
      <c r="G68" s="2"/>
      <c r="H68" s="204"/>
      <c r="I68" s="204"/>
      <c r="J68" s="204"/>
      <c r="K68" s="204"/>
      <c r="L68" s="204"/>
      <c r="M68" s="204"/>
      <c r="N68" s="204"/>
      <c r="O68" s="204"/>
      <c r="P68" s="204"/>
      <c r="Q68" s="204"/>
      <c r="R68" s="204"/>
      <c r="S68" s="204"/>
      <c r="T68" s="204"/>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9DED7-DC17-4F71-B97D-6744545B9446}">
  <dimension ref="A1:V50"/>
  <sheetViews>
    <sheetView showGridLines="0" zoomScale="70" zoomScaleNormal="70" workbookViewId="0">
      <pane ySplit="1" topLeftCell="A14" activePane="bottomLeft" state="frozen"/>
      <selection pane="bottomLeft" activeCell="A26" sqref="A26"/>
    </sheetView>
  </sheetViews>
  <sheetFormatPr baseColWidth="10" defaultColWidth="11.453125" defaultRowHeight="14.5" x14ac:dyDescent="0.35"/>
  <cols>
    <col min="1" max="1" width="18" customWidth="1"/>
    <col min="3" max="3" width="32.81640625" customWidth="1"/>
    <col min="4" max="4" width="18.26953125" customWidth="1"/>
    <col min="8" max="8" width="14.1796875" bestFit="1" customWidth="1"/>
    <col min="11" max="11" width="14.26953125" bestFit="1" customWidth="1"/>
  </cols>
  <sheetData>
    <row r="1" spans="1:20" ht="21" x14ac:dyDescent="0.35">
      <c r="A1" s="103" t="s">
        <v>413</v>
      </c>
      <c r="B1" s="103" t="s">
        <v>414</v>
      </c>
      <c r="C1" s="1" t="s">
        <v>826</v>
      </c>
      <c r="H1" s="175">
        <v>2011</v>
      </c>
      <c r="I1" s="176">
        <v>2012</v>
      </c>
      <c r="J1" s="176">
        <v>2013</v>
      </c>
      <c r="K1" s="176">
        <v>2014</v>
      </c>
      <c r="L1" s="176">
        <v>2015</v>
      </c>
      <c r="M1" s="176">
        <v>2016</v>
      </c>
      <c r="N1" s="176">
        <v>2017</v>
      </c>
      <c r="O1" s="176">
        <v>2018</v>
      </c>
      <c r="P1" s="176">
        <v>2019</v>
      </c>
      <c r="Q1" s="176">
        <v>2020</v>
      </c>
      <c r="R1" s="176">
        <v>2021</v>
      </c>
      <c r="S1" s="176">
        <v>2022</v>
      </c>
      <c r="T1" s="177">
        <v>2023</v>
      </c>
    </row>
    <row r="3" spans="1:20" x14ac:dyDescent="0.35">
      <c r="N3" s="6"/>
      <c r="O3" s="6"/>
      <c r="P3" s="6"/>
      <c r="Q3" s="6"/>
      <c r="R3" s="6"/>
      <c r="S3" s="6"/>
      <c r="T3" s="6"/>
    </row>
    <row r="4" spans="1:20" x14ac:dyDescent="0.35">
      <c r="C4" s="7" t="s">
        <v>416</v>
      </c>
    </row>
    <row r="5" spans="1:20" x14ac:dyDescent="0.35">
      <c r="C5" t="s">
        <v>795</v>
      </c>
    </row>
    <row r="7" spans="1:20" x14ac:dyDescent="0.35">
      <c r="C7" s="7" t="s">
        <v>418</v>
      </c>
    </row>
    <row r="8" spans="1:20" x14ac:dyDescent="0.35">
      <c r="C8" s="7"/>
    </row>
    <row r="9" spans="1:20" x14ac:dyDescent="0.35">
      <c r="C9" s="7"/>
    </row>
    <row r="10" spans="1:20" x14ac:dyDescent="0.35">
      <c r="C10" s="7"/>
    </row>
    <row r="15" spans="1:20" x14ac:dyDescent="0.35">
      <c r="C15" t="s">
        <v>796</v>
      </c>
    </row>
    <row r="16" spans="1:20" x14ac:dyDescent="0.35">
      <c r="C16" s="7"/>
    </row>
    <row r="17" spans="1:22" s="8" customFormat="1" ht="21" x14ac:dyDescent="0.5">
      <c r="C17" s="9" t="s">
        <v>797</v>
      </c>
      <c r="P17" s="10"/>
    </row>
    <row r="19" spans="1:22" x14ac:dyDescent="0.35">
      <c r="C19" s="7" t="s">
        <v>422</v>
      </c>
    </row>
    <row r="20" spans="1:22" x14ac:dyDescent="0.35">
      <c r="C20" t="s">
        <v>798</v>
      </c>
    </row>
    <row r="21" spans="1:22" x14ac:dyDescent="0.35">
      <c r="C21" t="s">
        <v>827</v>
      </c>
    </row>
    <row r="22" spans="1:22" ht="21" x14ac:dyDescent="0.5">
      <c r="C22" s="52"/>
    </row>
    <row r="23" spans="1:22" x14ac:dyDescent="0.35">
      <c r="C23" s="7" t="s">
        <v>427</v>
      </c>
    </row>
    <row r="24" spans="1:22" x14ac:dyDescent="0.35">
      <c r="A24" t="s">
        <v>828</v>
      </c>
      <c r="B24" s="102">
        <v>45810</v>
      </c>
      <c r="C24" s="35" t="s">
        <v>829</v>
      </c>
      <c r="H24" s="179">
        <v>2011</v>
      </c>
      <c r="I24" s="180">
        <v>2012</v>
      </c>
      <c r="J24" s="180">
        <v>2013</v>
      </c>
      <c r="K24" s="180">
        <v>2014</v>
      </c>
      <c r="L24" s="180">
        <v>2015</v>
      </c>
      <c r="M24" s="180">
        <v>2016</v>
      </c>
      <c r="N24" s="12">
        <v>2017</v>
      </c>
      <c r="O24" s="12">
        <v>2018</v>
      </c>
      <c r="P24" s="12">
        <v>2019</v>
      </c>
      <c r="Q24" s="12">
        <v>2020</v>
      </c>
      <c r="R24" s="12">
        <v>2021</v>
      </c>
      <c r="S24" s="12">
        <v>2022</v>
      </c>
      <c r="T24" s="12">
        <v>2023</v>
      </c>
      <c r="U24" s="12">
        <v>2024</v>
      </c>
      <c r="V24" s="13">
        <v>2025</v>
      </c>
    </row>
    <row r="25" spans="1:22" x14ac:dyDescent="0.35">
      <c r="C25" s="36" t="s">
        <v>436</v>
      </c>
      <c r="D25" s="19"/>
      <c r="E25" s="19"/>
      <c r="F25" s="24"/>
      <c r="G25" s="2"/>
      <c r="H25" s="737"/>
      <c r="I25" s="455"/>
      <c r="J25" s="455"/>
      <c r="K25" s="455"/>
      <c r="L25" s="455"/>
      <c r="M25" s="455"/>
      <c r="N25" s="738"/>
      <c r="O25" s="738"/>
      <c r="P25" s="738"/>
      <c r="Q25" s="738"/>
      <c r="R25" s="738"/>
      <c r="S25" s="738"/>
      <c r="T25" s="738"/>
      <c r="U25" s="455"/>
      <c r="V25" s="989"/>
    </row>
    <row r="26" spans="1:22" x14ac:dyDescent="0.35">
      <c r="A26" s="984" t="s">
        <v>792</v>
      </c>
      <c r="C26" s="54" t="s">
        <v>830</v>
      </c>
      <c r="D26" s="2"/>
      <c r="E26" s="2" t="s">
        <v>444</v>
      </c>
      <c r="F26" s="26"/>
      <c r="G26" s="2"/>
      <c r="H26" s="737">
        <v>184.182635204842</v>
      </c>
      <c r="I26" s="455">
        <v>164.34348718023611</v>
      </c>
      <c r="J26" s="738">
        <v>156.37981398636529</v>
      </c>
      <c r="K26" s="738">
        <v>159.14016470870015</v>
      </c>
      <c r="L26" s="738">
        <v>162.61779191031715</v>
      </c>
      <c r="M26" s="738">
        <v>175.5990150834497</v>
      </c>
      <c r="N26" s="738">
        <v>188.22773601042175</v>
      </c>
      <c r="O26" s="738">
        <v>195.62097339658024</v>
      </c>
      <c r="P26" s="738">
        <v>213.70709596567377</v>
      </c>
      <c r="Q26" s="455">
        <v>188.34184976851989</v>
      </c>
      <c r="R26" s="455">
        <v>214.62647472806563</v>
      </c>
      <c r="S26" s="455">
        <v>187.91326442642583</v>
      </c>
      <c r="T26" s="455">
        <v>235.75158222621704</v>
      </c>
      <c r="U26" s="455">
        <v>253.99237698708365</v>
      </c>
      <c r="V26" s="989">
        <v>213.85480402432492</v>
      </c>
    </row>
    <row r="27" spans="1:22" x14ac:dyDescent="0.35">
      <c r="C27" s="54" t="s">
        <v>831</v>
      </c>
      <c r="D27" s="2"/>
      <c r="E27" s="2" t="s">
        <v>268</v>
      </c>
      <c r="F27" s="26"/>
      <c r="G27" s="2"/>
      <c r="H27" s="737">
        <v>0</v>
      </c>
      <c r="I27" s="455">
        <v>0</v>
      </c>
      <c r="J27" s="738">
        <v>0</v>
      </c>
      <c r="K27" s="738">
        <v>0</v>
      </c>
      <c r="L27" s="738">
        <v>0</v>
      </c>
      <c r="M27" s="738">
        <v>0</v>
      </c>
      <c r="N27" s="738">
        <v>0</v>
      </c>
      <c r="O27" s="738">
        <v>0</v>
      </c>
      <c r="P27" s="738">
        <v>5.1481808695652172E-2</v>
      </c>
      <c r="Q27" s="455">
        <v>0.14439276521739131</v>
      </c>
      <c r="R27" s="455">
        <v>0.25344890434782608</v>
      </c>
      <c r="S27" s="455">
        <v>0.17119986086956523</v>
      </c>
      <c r="T27" s="455">
        <v>3.7073742331288351E-2</v>
      </c>
      <c r="U27" s="455">
        <v>0.27415960334029227</v>
      </c>
      <c r="V27" s="989">
        <v>0.51304500863176483</v>
      </c>
    </row>
    <row r="28" spans="1:22" x14ac:dyDescent="0.35">
      <c r="C28" s="54" t="s">
        <v>832</v>
      </c>
      <c r="D28" s="2"/>
      <c r="E28" s="2" t="s">
        <v>268</v>
      </c>
      <c r="F28" s="26"/>
      <c r="G28" s="2"/>
      <c r="H28" s="737">
        <v>4.8376971975733953</v>
      </c>
      <c r="I28" s="455">
        <v>3.5385852535059334</v>
      </c>
      <c r="J28" s="738">
        <v>3.0656867634060618</v>
      </c>
      <c r="K28" s="738">
        <v>3.0656867634060618</v>
      </c>
      <c r="L28" s="738">
        <v>3.6309907055944137</v>
      </c>
      <c r="M28" s="738">
        <v>4.6637575230539019</v>
      </c>
      <c r="N28" s="738">
        <v>5.4790997473640255</v>
      </c>
      <c r="O28" s="738">
        <v>5.0860180884109916</v>
      </c>
      <c r="P28" s="738">
        <v>7.4272835408602154</v>
      </c>
      <c r="Q28" s="455">
        <v>10.293001774551973</v>
      </c>
      <c r="R28" s="455">
        <v>16.640275393309437</v>
      </c>
      <c r="S28" s="455">
        <v>10.173833497968937</v>
      </c>
      <c r="T28" s="455">
        <v>13.286574126777026</v>
      </c>
      <c r="U28" s="455">
        <v>10.335887221590054</v>
      </c>
      <c r="V28" s="989">
        <v>10.335887221590054</v>
      </c>
    </row>
    <row r="29" spans="1:22" x14ac:dyDescent="0.35">
      <c r="C29" s="55" t="s">
        <v>833</v>
      </c>
      <c r="D29" s="21"/>
      <c r="E29" s="21" t="s">
        <v>268</v>
      </c>
      <c r="F29" s="27"/>
      <c r="G29" s="2"/>
      <c r="H29" s="739">
        <v>6.0637514419349934</v>
      </c>
      <c r="I29" s="456">
        <v>13.15978437934225</v>
      </c>
      <c r="J29" s="740">
        <v>17.801717724837026</v>
      </c>
      <c r="K29" s="740">
        <v>15.19171577960363</v>
      </c>
      <c r="L29" s="740">
        <v>16.115952795603814</v>
      </c>
      <c r="M29" s="740">
        <v>17.743021327006694</v>
      </c>
      <c r="N29" s="740">
        <v>20.130984960726728</v>
      </c>
      <c r="O29" s="740">
        <v>26.648306324661746</v>
      </c>
      <c r="P29" s="740">
        <v>26.844547068111527</v>
      </c>
      <c r="Q29" s="456">
        <v>31.760499549230758</v>
      </c>
      <c r="R29" s="456">
        <v>31.283199690722963</v>
      </c>
      <c r="S29" s="456">
        <v>45.147872495149485</v>
      </c>
      <c r="T29" s="456">
        <v>73.386686988936617</v>
      </c>
      <c r="U29" s="740">
        <v>97.976723273228899</v>
      </c>
      <c r="V29" s="990">
        <v>117.8182839456308</v>
      </c>
    </row>
    <row r="30" spans="1:22" x14ac:dyDescent="0.35">
      <c r="C30" s="65" t="s">
        <v>277</v>
      </c>
      <c r="D30" s="63"/>
      <c r="E30" s="63"/>
      <c r="F30" s="64"/>
      <c r="H30" s="991">
        <f>SUM(H25:H29)</f>
        <v>195.08408384435037</v>
      </c>
      <c r="I30" s="992">
        <f t="shared" ref="I30:V30" si="0">SUM(I25:I29)</f>
        <v>181.04185681308431</v>
      </c>
      <c r="J30" s="992">
        <f t="shared" si="0"/>
        <v>177.24721847460839</v>
      </c>
      <c r="K30" s="992">
        <f t="shared" si="0"/>
        <v>177.39756725170986</v>
      </c>
      <c r="L30" s="992">
        <f t="shared" si="0"/>
        <v>182.3647354115154</v>
      </c>
      <c r="M30" s="992">
        <f t="shared" si="0"/>
        <v>198.00579393351029</v>
      </c>
      <c r="N30" s="992">
        <f t="shared" si="0"/>
        <v>213.83782071851249</v>
      </c>
      <c r="O30" s="992">
        <f t="shared" si="0"/>
        <v>227.35529780965297</v>
      </c>
      <c r="P30" s="992">
        <f t="shared" si="0"/>
        <v>248.03040838334115</v>
      </c>
      <c r="Q30" s="992">
        <f t="shared" si="0"/>
        <v>230.53974385752002</v>
      </c>
      <c r="R30" s="992">
        <f t="shared" si="0"/>
        <v>262.80339871644583</v>
      </c>
      <c r="S30" s="992">
        <f t="shared" si="0"/>
        <v>243.40617028041379</v>
      </c>
      <c r="T30" s="992">
        <f t="shared" si="0"/>
        <v>322.46191708426198</v>
      </c>
      <c r="U30" s="992">
        <f t="shared" si="0"/>
        <v>362.57914708524288</v>
      </c>
      <c r="V30" s="993">
        <f t="shared" si="0"/>
        <v>342.52202020017751</v>
      </c>
    </row>
    <row r="32" spans="1:22" x14ac:dyDescent="0.35">
      <c r="A32" t="s">
        <v>828</v>
      </c>
      <c r="B32" s="102">
        <v>45810</v>
      </c>
      <c r="C32" s="35" t="s">
        <v>834</v>
      </c>
      <c r="H32" s="179">
        <v>2011</v>
      </c>
      <c r="I32" s="180">
        <v>2012</v>
      </c>
      <c r="J32" s="180">
        <v>2013</v>
      </c>
      <c r="K32" s="180">
        <v>2014</v>
      </c>
      <c r="L32" s="180">
        <v>2015</v>
      </c>
      <c r="M32" s="180">
        <v>2016</v>
      </c>
      <c r="N32" s="12">
        <v>2017</v>
      </c>
      <c r="O32" s="12">
        <v>2018</v>
      </c>
      <c r="P32" s="12">
        <v>2019</v>
      </c>
      <c r="Q32" s="12">
        <v>2020</v>
      </c>
      <c r="R32" s="12">
        <v>2021</v>
      </c>
      <c r="S32" s="12">
        <v>2022</v>
      </c>
      <c r="T32" s="12">
        <v>2023</v>
      </c>
      <c r="U32" s="12">
        <v>2024</v>
      </c>
      <c r="V32" s="13">
        <v>2025</v>
      </c>
    </row>
    <row r="33" spans="3:22" x14ac:dyDescent="0.35">
      <c r="C33" s="36" t="s">
        <v>436</v>
      </c>
      <c r="D33" s="19"/>
      <c r="E33" s="19"/>
      <c r="F33" s="24"/>
      <c r="H33" s="733"/>
      <c r="I33" s="730"/>
      <c r="J33" s="730"/>
      <c r="K33" s="730"/>
      <c r="L33" s="730"/>
      <c r="M33" s="730"/>
      <c r="N33" s="730"/>
      <c r="O33" s="730"/>
      <c r="P33" s="730"/>
      <c r="Q33" s="730"/>
      <c r="R33" s="730"/>
      <c r="S33" s="730"/>
      <c r="T33" s="730"/>
      <c r="U33" s="730"/>
      <c r="V33" s="731"/>
    </row>
    <row r="34" spans="3:22" x14ac:dyDescent="0.35">
      <c r="C34" s="54" t="s">
        <v>830</v>
      </c>
      <c r="D34" s="2"/>
      <c r="E34" s="2" t="s">
        <v>835</v>
      </c>
      <c r="F34" s="26"/>
      <c r="H34" s="734">
        <v>8606.6651964879293</v>
      </c>
      <c r="I34" s="454">
        <v>7679.6022046839316</v>
      </c>
      <c r="J34" s="454">
        <v>7307.4679432880994</v>
      </c>
      <c r="K34" s="454">
        <v>7436.4562947990726</v>
      </c>
      <c r="L34" s="454">
        <v>7598.962238799867</v>
      </c>
      <c r="M34" s="454">
        <v>8205.56145249765</v>
      </c>
      <c r="N34" s="454">
        <v>8795.6885986178386</v>
      </c>
      <c r="O34" s="454">
        <v>9141.1669811486099</v>
      </c>
      <c r="P34" s="454">
        <v>9509.5045595013471</v>
      </c>
      <c r="Q34" s="454">
        <v>7922.5108218785972</v>
      </c>
      <c r="R34" s="454">
        <v>8486.2787049964663</v>
      </c>
      <c r="S34" s="454">
        <v>6741.5248771767901</v>
      </c>
      <c r="T34" s="454">
        <v>7640.2522872547388</v>
      </c>
      <c r="U34" s="454">
        <v>7650.0010457890476</v>
      </c>
      <c r="V34" s="727">
        <v>6441.0967519560363</v>
      </c>
    </row>
    <row r="35" spans="3:22" x14ac:dyDescent="0.35">
      <c r="C35" s="54" t="s">
        <v>836</v>
      </c>
      <c r="D35" s="2"/>
      <c r="E35" s="2" t="s">
        <v>268</v>
      </c>
      <c r="F35" s="26"/>
      <c r="H35" s="734">
        <v>6.956521739130435E-3</v>
      </c>
      <c r="I35" s="454">
        <v>3.4782608695652174E-2</v>
      </c>
      <c r="J35" s="454">
        <v>3.4782608695652174E-2</v>
      </c>
      <c r="K35" s="454">
        <v>1.391304347826087E-2</v>
      </c>
      <c r="L35" s="454">
        <v>5.565217391304348E-2</v>
      </c>
      <c r="M35" s="454">
        <v>6.2608695652173918E-2</v>
      </c>
      <c r="N35" s="454">
        <v>4.8695652173913043E-2</v>
      </c>
      <c r="O35" s="454">
        <v>0.15304347826086956</v>
      </c>
      <c r="P35" s="454">
        <v>1.1756521739130434</v>
      </c>
      <c r="Q35" s="454">
        <v>3.2973913043478262</v>
      </c>
      <c r="R35" s="454">
        <v>5.7878260869565219</v>
      </c>
      <c r="S35" s="454">
        <v>3.9095652173913047</v>
      </c>
      <c r="T35" s="454">
        <v>0.84662576687116575</v>
      </c>
      <c r="U35" s="454">
        <v>5.2171189979123174</v>
      </c>
      <c r="V35" s="727">
        <v>9.7629877950859161</v>
      </c>
    </row>
    <row r="36" spans="3:22" x14ac:dyDescent="0.35">
      <c r="C36" s="54" t="s">
        <v>832</v>
      </c>
      <c r="D36" s="2"/>
      <c r="E36" s="2" t="s">
        <v>268</v>
      </c>
      <c r="F36" s="26"/>
      <c r="H36" s="734">
        <v>205.22102747909199</v>
      </c>
      <c r="I36" s="454">
        <v>150.11111111111111</v>
      </c>
      <c r="J36" s="454">
        <v>130.05017921146953</v>
      </c>
      <c r="K36" s="454">
        <v>130.05017921146953</v>
      </c>
      <c r="L36" s="454">
        <v>154.03106332138589</v>
      </c>
      <c r="M36" s="454">
        <v>197.84229390681003</v>
      </c>
      <c r="N36" s="454">
        <v>232.43010752688173</v>
      </c>
      <c r="O36" s="454">
        <v>216.0585424133811</v>
      </c>
      <c r="P36" s="454">
        <v>300.45280764635601</v>
      </c>
      <c r="Q36" s="454">
        <v>393.60931899641577</v>
      </c>
      <c r="R36" s="454">
        <v>598.13859020310633</v>
      </c>
      <c r="S36" s="454">
        <v>331.81242532855435</v>
      </c>
      <c r="T36" s="454">
        <v>391.44740024183795</v>
      </c>
      <c r="U36" s="454">
        <v>283.00616016427102</v>
      </c>
      <c r="V36" s="727">
        <v>283.00616016427102</v>
      </c>
    </row>
    <row r="37" spans="3:22" x14ac:dyDescent="0.35">
      <c r="C37" s="55" t="s">
        <v>833</v>
      </c>
      <c r="D37" s="21"/>
      <c r="E37" s="21" t="s">
        <v>268</v>
      </c>
      <c r="F37" s="27"/>
      <c r="H37" s="735">
        <v>144.45605700712591</v>
      </c>
      <c r="I37" s="728">
        <v>313.50403800475061</v>
      </c>
      <c r="J37" s="728">
        <v>449.79144893111641</v>
      </c>
      <c r="K37" s="728">
        <v>390.89121140142515</v>
      </c>
      <c r="L37" s="728">
        <v>427.00522565320671</v>
      </c>
      <c r="M37" s="728">
        <v>512.13111638954865</v>
      </c>
      <c r="N37" s="728">
        <v>525.28693586698341</v>
      </c>
      <c r="O37" s="728">
        <v>709.29643705463184</v>
      </c>
      <c r="P37" s="728">
        <v>687.3700712589075</v>
      </c>
      <c r="Q37" s="728">
        <v>770.34631828978615</v>
      </c>
      <c r="R37" s="728">
        <v>1067.6850356294538</v>
      </c>
      <c r="S37" s="728">
        <v>1449.2038004750596</v>
      </c>
      <c r="T37" s="728">
        <v>2167.3759697632781</v>
      </c>
      <c r="U37" s="728">
        <v>2719.6416252987683</v>
      </c>
      <c r="V37" s="729">
        <v>3270.3939650950329</v>
      </c>
    </row>
    <row r="38" spans="3:22" x14ac:dyDescent="0.35">
      <c r="C38" s="744" t="s">
        <v>812</v>
      </c>
      <c r="D38" s="63"/>
      <c r="E38" s="17" t="s">
        <v>835</v>
      </c>
      <c r="F38" s="64"/>
      <c r="H38" s="745">
        <f>SUM(H33:H37)</f>
        <v>8956.3492374958878</v>
      </c>
      <c r="I38" s="746">
        <f t="shared" ref="I38:V38" si="1">SUM(I33:I37)</f>
        <v>8143.2521364084887</v>
      </c>
      <c r="J38" s="746">
        <f t="shared" si="1"/>
        <v>7887.3443540393801</v>
      </c>
      <c r="K38" s="746">
        <f t="shared" si="1"/>
        <v>7957.4115984554446</v>
      </c>
      <c r="L38" s="746">
        <f t="shared" si="1"/>
        <v>8180.0541799483726</v>
      </c>
      <c r="M38" s="746">
        <f t="shared" si="1"/>
        <v>8915.5974714896602</v>
      </c>
      <c r="N38" s="746">
        <f t="shared" si="1"/>
        <v>9553.4543376638776</v>
      </c>
      <c r="O38" s="746">
        <f t="shared" si="1"/>
        <v>10066.675004094885</v>
      </c>
      <c r="P38" s="746">
        <f t="shared" si="1"/>
        <v>10498.503090580523</v>
      </c>
      <c r="Q38" s="746">
        <f t="shared" si="1"/>
        <v>9089.7638504691477</v>
      </c>
      <c r="R38" s="746">
        <f t="shared" si="1"/>
        <v>10157.890156915984</v>
      </c>
      <c r="S38" s="746">
        <f t="shared" si="1"/>
        <v>8526.4506681977946</v>
      </c>
      <c r="T38" s="746">
        <f t="shared" si="1"/>
        <v>10199.922283026726</v>
      </c>
      <c r="U38" s="746">
        <f t="shared" si="1"/>
        <v>10657.86595025</v>
      </c>
      <c r="V38" s="747">
        <f t="shared" si="1"/>
        <v>10004.259865010426</v>
      </c>
    </row>
    <row r="40" spans="3:22" x14ac:dyDescent="0.35">
      <c r="C40" s="15" t="s">
        <v>813</v>
      </c>
    </row>
    <row r="41" spans="3:22" x14ac:dyDescent="0.35">
      <c r="C41" s="260" t="s">
        <v>814</v>
      </c>
      <c r="D41" s="73"/>
      <c r="E41" s="73" t="s">
        <v>464</v>
      </c>
      <c r="F41" s="29"/>
      <c r="H41" s="758">
        <f>-(N38-T38)/N38</f>
        <v>6.7668502147353191E-2</v>
      </c>
    </row>
    <row r="42" spans="3:22" x14ac:dyDescent="0.35">
      <c r="C42" s="14" t="s">
        <v>815</v>
      </c>
      <c r="E42" t="s">
        <v>464</v>
      </c>
      <c r="F42" s="31"/>
      <c r="H42" s="253">
        <f>-(H38-T38)/H38</f>
        <v>0.13884820841114609</v>
      </c>
    </row>
    <row r="43" spans="3:22" x14ac:dyDescent="0.35">
      <c r="C43" s="14" t="s">
        <v>816</v>
      </c>
      <c r="E43" t="s">
        <v>817</v>
      </c>
      <c r="F43" s="31"/>
      <c r="H43" s="251">
        <f>AVERAGE(Q38:V38)</f>
        <v>9772.6921289783477</v>
      </c>
    </row>
    <row r="44" spans="3:22" x14ac:dyDescent="0.35">
      <c r="C44" s="20" t="s">
        <v>818</v>
      </c>
      <c r="D44" s="100"/>
      <c r="E44" s="100" t="s">
        <v>817</v>
      </c>
      <c r="F44" s="33"/>
      <c r="H44" s="736">
        <f>AVERAGE(K38:Q38)</f>
        <v>9180.208504671702</v>
      </c>
    </row>
    <row r="46" spans="3:22" x14ac:dyDescent="0.35">
      <c r="C46" s="15" t="s">
        <v>819</v>
      </c>
    </row>
    <row r="47" spans="3:22" x14ac:dyDescent="0.35">
      <c r="C47" s="260" t="s">
        <v>814</v>
      </c>
      <c r="D47" s="73"/>
      <c r="E47" s="73" t="s">
        <v>464</v>
      </c>
      <c r="F47" s="29"/>
      <c r="H47" s="758">
        <f>-(N34-T34)/N34</f>
        <v>-0.13136394023142953</v>
      </c>
    </row>
    <row r="48" spans="3:22" x14ac:dyDescent="0.35">
      <c r="C48" s="14" t="s">
        <v>815</v>
      </c>
      <c r="E48" t="s">
        <v>464</v>
      </c>
      <c r="F48" s="31"/>
      <c r="H48" s="253">
        <f>-(H34-T34)/H34</f>
        <v>-0.11228656944010659</v>
      </c>
    </row>
    <row r="49" spans="3:8" x14ac:dyDescent="0.35">
      <c r="C49" s="14" t="s">
        <v>816</v>
      </c>
      <c r="E49" t="s">
        <v>817</v>
      </c>
      <c r="F49" s="31"/>
      <c r="H49" s="251">
        <f>AVERAGE(Q34:V34)</f>
        <v>7480.2774148419458</v>
      </c>
    </row>
    <row r="50" spans="3:8" x14ac:dyDescent="0.35">
      <c r="C50" s="20" t="s">
        <v>818</v>
      </c>
      <c r="D50" s="100"/>
      <c r="E50" s="100" t="s">
        <v>817</v>
      </c>
      <c r="F50" s="33"/>
      <c r="H50" s="736">
        <f>AVERAGE(K34:Q34)</f>
        <v>8372.8358496061392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7802-9D79-40FC-88DD-8507355AAB99}">
  <dimension ref="A1:V86"/>
  <sheetViews>
    <sheetView showGridLines="0" zoomScale="55" zoomScaleNormal="55" workbookViewId="0">
      <pane ySplit="1" topLeftCell="A15" activePane="bottomLeft" state="frozen"/>
      <selection pane="bottomLeft" activeCell="G90" sqref="G90"/>
    </sheetView>
  </sheetViews>
  <sheetFormatPr baseColWidth="10" defaultColWidth="11.453125" defaultRowHeight="14.5" x14ac:dyDescent="0.35"/>
  <cols>
    <col min="1" max="1" width="22.81640625" customWidth="1"/>
    <col min="4" max="4" width="14.7265625" customWidth="1"/>
    <col min="5" max="7" width="12.54296875" bestFit="1" customWidth="1"/>
    <col min="8" max="8" width="14.7265625" bestFit="1" customWidth="1"/>
    <col min="9" max="9" width="14.453125" bestFit="1" customWidth="1"/>
    <col min="10" max="20" width="13.26953125" bestFit="1" customWidth="1"/>
  </cols>
  <sheetData>
    <row r="1" spans="1:20" ht="21" x14ac:dyDescent="0.35">
      <c r="A1" s="103" t="s">
        <v>413</v>
      </c>
      <c r="B1" s="103" t="s">
        <v>414</v>
      </c>
      <c r="C1" s="1" t="s">
        <v>837</v>
      </c>
      <c r="H1" s="175">
        <v>2011</v>
      </c>
      <c r="I1" s="176">
        <v>2012</v>
      </c>
      <c r="J1" s="176">
        <v>2013</v>
      </c>
      <c r="K1" s="176">
        <v>2014</v>
      </c>
      <c r="L1" s="176">
        <v>2015</v>
      </c>
      <c r="M1" s="176">
        <v>2016</v>
      </c>
      <c r="N1" s="176">
        <v>2017</v>
      </c>
      <c r="O1" s="176">
        <v>2018</v>
      </c>
      <c r="P1" s="176">
        <v>2019</v>
      </c>
      <c r="Q1" s="176">
        <v>2020</v>
      </c>
      <c r="R1" s="176">
        <v>2021</v>
      </c>
      <c r="S1" s="176">
        <v>2022</v>
      </c>
      <c r="T1" s="177">
        <v>2023</v>
      </c>
    </row>
    <row r="3" spans="1:20" x14ac:dyDescent="0.35">
      <c r="C3" s="7" t="s">
        <v>416</v>
      </c>
    </row>
    <row r="4" spans="1:20" x14ac:dyDescent="0.35">
      <c r="C4" s="7"/>
    </row>
    <row r="5" spans="1:20" x14ac:dyDescent="0.35">
      <c r="C5" s="7" t="s">
        <v>418</v>
      </c>
    </row>
    <row r="6" spans="1:20" x14ac:dyDescent="0.35">
      <c r="C6" s="7"/>
    </row>
    <row r="7" spans="1:20" x14ac:dyDescent="0.35">
      <c r="C7" s="7"/>
    </row>
    <row r="8" spans="1:20" x14ac:dyDescent="0.35">
      <c r="C8" s="7"/>
    </row>
    <row r="9" spans="1:20" x14ac:dyDescent="0.35">
      <c r="C9" s="7"/>
    </row>
    <row r="10" spans="1:20" x14ac:dyDescent="0.35">
      <c r="C10" s="7"/>
    </row>
    <row r="11" spans="1:20" x14ac:dyDescent="0.35">
      <c r="C11" s="7"/>
    </row>
    <row r="12" spans="1:20" x14ac:dyDescent="0.35">
      <c r="C12" s="7"/>
    </row>
    <row r="13" spans="1:20" x14ac:dyDescent="0.35">
      <c r="C13" s="7"/>
    </row>
    <row r="14" spans="1:20" x14ac:dyDescent="0.35">
      <c r="C14" s="7"/>
    </row>
    <row r="15" spans="1:20" x14ac:dyDescent="0.35">
      <c r="C15" s="7"/>
    </row>
    <row r="16" spans="1:20" x14ac:dyDescent="0.35">
      <c r="C16" s="7"/>
    </row>
    <row r="17" spans="1:22" x14ac:dyDescent="0.35">
      <c r="C17" s="7"/>
    </row>
    <row r="18" spans="1:22" x14ac:dyDescent="0.35">
      <c r="C18" s="7"/>
    </row>
    <row r="19" spans="1:22" x14ac:dyDescent="0.35">
      <c r="C19" s="104" t="s">
        <v>838</v>
      </c>
    </row>
    <row r="20" spans="1:22" x14ac:dyDescent="0.35">
      <c r="C20" s="7"/>
    </row>
    <row r="21" spans="1:22" s="8" customFormat="1" ht="21" x14ac:dyDescent="0.5">
      <c r="C21" s="9" t="s">
        <v>797</v>
      </c>
      <c r="P21" s="10"/>
    </row>
    <row r="23" spans="1:22" x14ac:dyDescent="0.35">
      <c r="C23" s="7" t="s">
        <v>422</v>
      </c>
    </row>
    <row r="24" spans="1:22" x14ac:dyDescent="0.35">
      <c r="C24" t="s">
        <v>839</v>
      </c>
    </row>
    <row r="26" spans="1:22" x14ac:dyDescent="0.35">
      <c r="C26" s="7" t="s">
        <v>427</v>
      </c>
      <c r="N26" s="58"/>
    </row>
    <row r="27" spans="1:22" x14ac:dyDescent="0.35">
      <c r="N27" s="58"/>
    </row>
    <row r="28" spans="1:22" x14ac:dyDescent="0.35">
      <c r="A28" t="s">
        <v>840</v>
      </c>
      <c r="B28" s="102">
        <v>45810</v>
      </c>
      <c r="C28" s="56" t="s">
        <v>841</v>
      </c>
      <c r="H28" s="58"/>
      <c r="N28" s="83"/>
    </row>
    <row r="29" spans="1:22" x14ac:dyDescent="0.35">
      <c r="C29" s="16"/>
      <c r="D29" s="17"/>
      <c r="E29" s="17" t="s">
        <v>431</v>
      </c>
      <c r="F29" s="23" t="s">
        <v>432</v>
      </c>
      <c r="G29" s="2"/>
      <c r="H29" s="181">
        <v>2011</v>
      </c>
      <c r="I29" s="182">
        <v>2012</v>
      </c>
      <c r="J29" s="182">
        <v>2013</v>
      </c>
      <c r="K29" s="182">
        <v>2014</v>
      </c>
      <c r="L29" s="182">
        <v>2015</v>
      </c>
      <c r="M29" s="182">
        <v>2016</v>
      </c>
      <c r="N29" s="45">
        <v>2017</v>
      </c>
      <c r="O29" s="45">
        <v>2018</v>
      </c>
      <c r="P29" s="45">
        <v>2019</v>
      </c>
      <c r="Q29" s="45">
        <v>2020</v>
      </c>
      <c r="R29" s="45">
        <v>2021</v>
      </c>
      <c r="S29" s="45">
        <v>2022</v>
      </c>
      <c r="T29" s="45">
        <v>2023</v>
      </c>
      <c r="U29" s="45">
        <v>2024</v>
      </c>
      <c r="V29" s="46">
        <v>2025</v>
      </c>
    </row>
    <row r="30" spans="1:22" x14ac:dyDescent="0.35">
      <c r="C30" s="18" t="s">
        <v>842</v>
      </c>
      <c r="D30" s="19"/>
      <c r="E30" s="57" t="s">
        <v>803</v>
      </c>
      <c r="F30" s="24"/>
      <c r="G30" s="2"/>
      <c r="H30" s="748">
        <v>1725</v>
      </c>
      <c r="I30" s="68">
        <v>1765</v>
      </c>
      <c r="J30" s="68">
        <v>1997</v>
      </c>
      <c r="K30" s="68">
        <v>1574</v>
      </c>
      <c r="L30" s="68">
        <v>1862</v>
      </c>
      <c r="M30" s="68">
        <v>1470</v>
      </c>
      <c r="N30" s="68">
        <v>1318</v>
      </c>
      <c r="O30" s="68">
        <v>1363</v>
      </c>
      <c r="P30" s="68">
        <v>1161</v>
      </c>
      <c r="Q30" s="68">
        <v>1010</v>
      </c>
      <c r="R30" s="68">
        <v>536</v>
      </c>
      <c r="S30" s="68">
        <v>233</v>
      </c>
      <c r="T30" s="68">
        <v>389</v>
      </c>
      <c r="U30" s="68">
        <v>398</v>
      </c>
      <c r="V30" s="350">
        <v>422.05726405090138</v>
      </c>
    </row>
    <row r="31" spans="1:22" x14ac:dyDescent="0.35">
      <c r="C31" s="14" t="s">
        <v>843</v>
      </c>
      <c r="D31" s="2"/>
      <c r="E31" s="25" t="s">
        <v>268</v>
      </c>
      <c r="F31" s="26"/>
      <c r="G31" s="2"/>
      <c r="H31" s="344">
        <v>316.92691655679033</v>
      </c>
      <c r="I31" s="200">
        <v>324.27594650593329</v>
      </c>
      <c r="J31" s="200">
        <v>366.90032021096249</v>
      </c>
      <c r="K31" s="200">
        <v>289.18432849877564</v>
      </c>
      <c r="L31" s="200">
        <v>342.09734413260497</v>
      </c>
      <c r="M31" s="200">
        <v>270.07685063100394</v>
      </c>
      <c r="N31" s="200">
        <v>242.15053682426068</v>
      </c>
      <c r="O31" s="200">
        <v>250.41819551704651</v>
      </c>
      <c r="P31" s="200">
        <v>213.30559427387453</v>
      </c>
      <c r="Q31" s="200">
        <v>185.56300621585984</v>
      </c>
      <c r="R31" s="200">
        <v>98.477001318515718</v>
      </c>
      <c r="S31" s="200">
        <v>42.808099453757769</v>
      </c>
      <c r="T31" s="200">
        <v>71.469316255415336</v>
      </c>
      <c r="U31" s="200">
        <v>73.122847993972499</v>
      </c>
      <c r="V31" s="345">
        <v>77.542786844085356</v>
      </c>
    </row>
    <row r="32" spans="1:22" x14ac:dyDescent="0.35">
      <c r="C32" s="14" t="s">
        <v>844</v>
      </c>
      <c r="D32" s="2"/>
      <c r="E32" s="25" t="s">
        <v>268</v>
      </c>
      <c r="F32" s="26"/>
      <c r="G32" s="2"/>
      <c r="H32" s="344">
        <v>1408.0730834432095</v>
      </c>
      <c r="I32" s="200">
        <v>1440.7240534940665</v>
      </c>
      <c r="J32" s="200">
        <v>1630.0996797890373</v>
      </c>
      <c r="K32" s="200">
        <v>1284.8156715012242</v>
      </c>
      <c r="L32" s="200">
        <v>1519.902655867395</v>
      </c>
      <c r="M32" s="200">
        <v>1199.9231493689961</v>
      </c>
      <c r="N32" s="200">
        <v>1075.8494631757392</v>
      </c>
      <c r="O32" s="200">
        <v>1112.5818044829534</v>
      </c>
      <c r="P32" s="200">
        <v>947.69440572612541</v>
      </c>
      <c r="Q32" s="200">
        <v>824.4369937841401</v>
      </c>
      <c r="R32" s="200">
        <v>437.52299868148424</v>
      </c>
      <c r="S32" s="200">
        <v>190.19190054624221</v>
      </c>
      <c r="T32" s="200">
        <v>317.53068374458462</v>
      </c>
      <c r="U32" s="200">
        <v>324.87715200602747</v>
      </c>
      <c r="V32" s="345">
        <v>344.51447720681597</v>
      </c>
    </row>
    <row r="33" spans="3:22" x14ac:dyDescent="0.35">
      <c r="C33" s="18" t="s">
        <v>845</v>
      </c>
      <c r="D33" s="19"/>
      <c r="E33" s="57" t="s">
        <v>803</v>
      </c>
      <c r="F33" s="24"/>
      <c r="G33" s="2"/>
      <c r="H33" s="748">
        <v>5174</v>
      </c>
      <c r="I33" s="68">
        <v>4507</v>
      </c>
      <c r="J33" s="68">
        <v>5053</v>
      </c>
      <c r="K33" s="68">
        <v>4599</v>
      </c>
      <c r="L33" s="68">
        <v>5856</v>
      </c>
      <c r="M33" s="68">
        <v>5230</v>
      </c>
      <c r="N33" s="68">
        <v>4836</v>
      </c>
      <c r="O33" s="68">
        <v>4698</v>
      </c>
      <c r="P33" s="68">
        <v>5010</v>
      </c>
      <c r="Q33" s="68">
        <v>4179</v>
      </c>
      <c r="R33" s="68">
        <v>4324</v>
      </c>
      <c r="S33" s="68">
        <v>3595</v>
      </c>
      <c r="T33" s="68">
        <v>3834</v>
      </c>
      <c r="U33" s="68">
        <v>4369</v>
      </c>
      <c r="V33" s="350">
        <v>4633.0858960763517</v>
      </c>
    </row>
    <row r="34" spans="3:22" x14ac:dyDescent="0.35">
      <c r="C34" s="14" t="s">
        <v>843</v>
      </c>
      <c r="D34" s="2"/>
      <c r="E34" s="25" t="s">
        <v>268</v>
      </c>
      <c r="F34" s="26"/>
      <c r="G34" s="2"/>
      <c r="H34" s="344">
        <v>3555.5865658508937</v>
      </c>
      <c r="I34" s="200">
        <v>3097.222391242748</v>
      </c>
      <c r="J34" s="200">
        <v>3472.4350439204804</v>
      </c>
      <c r="K34" s="200">
        <v>3160.4450360162855</v>
      </c>
      <c r="L34" s="200">
        <v>4024.2587803677684</v>
      </c>
      <c r="M34" s="200">
        <v>3749.0346603365315</v>
      </c>
      <c r="N34" s="200">
        <v>3609.893140839743</v>
      </c>
      <c r="O34" s="200">
        <v>3646.0829030427767</v>
      </c>
      <c r="P34" s="200">
        <v>4036.6699374850023</v>
      </c>
      <c r="Q34" s="200">
        <v>3490.9381512826362</v>
      </c>
      <c r="R34" s="200">
        <v>3740.1842579072468</v>
      </c>
      <c r="S34" s="200">
        <v>3216.1317713565804</v>
      </c>
      <c r="T34" s="200">
        <v>3543.5454545454545</v>
      </c>
      <c r="U34" s="200">
        <v>4038.0151515151515</v>
      </c>
      <c r="V34" s="345">
        <v>4282.0945403129917</v>
      </c>
    </row>
    <row r="35" spans="3:22" x14ac:dyDescent="0.35">
      <c r="C35" s="20" t="s">
        <v>844</v>
      </c>
      <c r="D35" s="21"/>
      <c r="E35" s="22" t="s">
        <v>268</v>
      </c>
      <c r="F35" s="27"/>
      <c r="G35" s="2"/>
      <c r="H35" s="346">
        <v>1618.4134341491058</v>
      </c>
      <c r="I35" s="347">
        <v>1409.7776087572515</v>
      </c>
      <c r="J35" s="347">
        <v>1580.5649560795191</v>
      </c>
      <c r="K35" s="347">
        <v>1438.5549639837143</v>
      </c>
      <c r="L35" s="347">
        <v>1831.7412196322312</v>
      </c>
      <c r="M35" s="347">
        <v>1480.9653396634683</v>
      </c>
      <c r="N35" s="347">
        <v>1226.1068591602573</v>
      </c>
      <c r="O35" s="347">
        <v>1051.917096957224</v>
      </c>
      <c r="P35" s="347">
        <v>973.33006251499853</v>
      </c>
      <c r="Q35" s="347">
        <v>688.06184871736491</v>
      </c>
      <c r="R35" s="347">
        <v>583.81574209275459</v>
      </c>
      <c r="S35" s="347">
        <v>378.86822864342071</v>
      </c>
      <c r="T35" s="347">
        <v>290.45454545454544</v>
      </c>
      <c r="U35" s="347">
        <v>330.9848484848485</v>
      </c>
      <c r="V35" s="348">
        <v>350.99135576335999</v>
      </c>
    </row>
    <row r="36" spans="3:22" x14ac:dyDescent="0.35">
      <c r="C36" s="62" t="s">
        <v>846</v>
      </c>
      <c r="D36" s="63"/>
      <c r="E36" s="63"/>
      <c r="F36" s="64"/>
      <c r="G36" s="2"/>
      <c r="H36" s="759">
        <f>SUM(H32+H35)</f>
        <v>3026.4865175923151</v>
      </c>
      <c r="I36" s="760">
        <f t="shared" ref="I36:V36" si="0">SUM(I32+I35)</f>
        <v>2850.5016622513181</v>
      </c>
      <c r="J36" s="760">
        <f t="shared" si="0"/>
        <v>3210.6646358685566</v>
      </c>
      <c r="K36" s="760">
        <f t="shared" si="0"/>
        <v>2723.3706354849382</v>
      </c>
      <c r="L36" s="760">
        <f t="shared" si="0"/>
        <v>3351.6438754996261</v>
      </c>
      <c r="M36" s="760">
        <f t="shared" si="0"/>
        <v>2680.8884890324643</v>
      </c>
      <c r="N36" s="760">
        <f t="shared" si="0"/>
        <v>2301.9563223359964</v>
      </c>
      <c r="O36" s="760">
        <f t="shared" si="0"/>
        <v>2164.4989014401772</v>
      </c>
      <c r="P36" s="760">
        <f t="shared" si="0"/>
        <v>1921.0244682411239</v>
      </c>
      <c r="Q36" s="760">
        <f t="shared" si="0"/>
        <v>1512.4988425015049</v>
      </c>
      <c r="R36" s="760">
        <f t="shared" si="0"/>
        <v>1021.3387407742389</v>
      </c>
      <c r="S36" s="760">
        <f t="shared" si="0"/>
        <v>569.06012918966292</v>
      </c>
      <c r="T36" s="760">
        <f t="shared" si="0"/>
        <v>607.98522919913012</v>
      </c>
      <c r="U36" s="760">
        <f t="shared" si="0"/>
        <v>655.86200049087597</v>
      </c>
      <c r="V36" s="761">
        <f t="shared" si="0"/>
        <v>695.50583297017602</v>
      </c>
    </row>
    <row r="37" spans="3:22" x14ac:dyDescent="0.35">
      <c r="C37" s="266" t="s">
        <v>847</v>
      </c>
      <c r="D37" s="266" t="s">
        <v>848</v>
      </c>
      <c r="E37" s="104"/>
    </row>
    <row r="38" spans="3:22" x14ac:dyDescent="0.35">
      <c r="C38" s="266" t="s">
        <v>849</v>
      </c>
      <c r="D38" s="266" t="s">
        <v>850</v>
      </c>
      <c r="E38" s="104"/>
    </row>
    <row r="39" spans="3:22" x14ac:dyDescent="0.35">
      <c r="C39" s="118"/>
      <c r="D39" s="118"/>
    </row>
    <row r="40" spans="3:22" x14ac:dyDescent="0.35">
      <c r="C40" s="118"/>
      <c r="D40" s="118"/>
      <c r="H40" s="181">
        <v>2011</v>
      </c>
      <c r="I40" s="182">
        <v>2012</v>
      </c>
      <c r="J40" s="182">
        <v>2013</v>
      </c>
      <c r="K40" s="182">
        <v>2014</v>
      </c>
      <c r="L40" s="182">
        <v>2015</v>
      </c>
      <c r="M40" s="182">
        <v>2016</v>
      </c>
      <c r="N40" s="45">
        <v>2017</v>
      </c>
      <c r="O40" s="45">
        <v>2018</v>
      </c>
      <c r="P40" s="45">
        <v>2019</v>
      </c>
      <c r="Q40" s="45">
        <v>2020</v>
      </c>
      <c r="R40" s="45">
        <v>2021</v>
      </c>
      <c r="S40" s="45">
        <v>2022</v>
      </c>
      <c r="T40" s="45">
        <v>2023</v>
      </c>
      <c r="U40" s="45">
        <v>2024</v>
      </c>
      <c r="V40" s="46">
        <v>2025</v>
      </c>
    </row>
    <row r="41" spans="3:22" x14ac:dyDescent="0.35">
      <c r="C41" s="36" t="s">
        <v>842</v>
      </c>
      <c r="D41" s="19"/>
      <c r="E41" s="19"/>
      <c r="F41" s="19"/>
      <c r="G41" s="29"/>
      <c r="H41" s="432"/>
      <c r="I41" s="395"/>
      <c r="J41" s="395"/>
      <c r="K41" s="395"/>
      <c r="L41" s="395"/>
      <c r="M41" s="395"/>
      <c r="N41" s="395"/>
      <c r="O41" s="395"/>
      <c r="P41" s="395"/>
      <c r="Q41" s="395"/>
      <c r="R41" s="395"/>
      <c r="S41" s="395"/>
      <c r="T41" s="395"/>
      <c r="U41" s="395"/>
      <c r="V41" s="351"/>
    </row>
    <row r="42" spans="3:22" x14ac:dyDescent="0.35">
      <c r="C42" s="1302" t="s">
        <v>438</v>
      </c>
      <c r="D42" s="2"/>
      <c r="E42" s="2" t="s">
        <v>851</v>
      </c>
      <c r="F42" s="2" t="s">
        <v>437</v>
      </c>
      <c r="G42" s="31"/>
      <c r="H42" s="138">
        <v>0.18372574872857411</v>
      </c>
      <c r="I42" s="139">
        <v>0.18372574872857411</v>
      </c>
      <c r="J42" s="139">
        <v>0.18372574872857411</v>
      </c>
      <c r="K42" s="139">
        <v>0.18372574872857411</v>
      </c>
      <c r="L42" s="139">
        <v>0.18372574872857411</v>
      </c>
      <c r="M42" s="139">
        <v>0.18372574872857411</v>
      </c>
      <c r="N42" s="139">
        <v>0.18372574872857411</v>
      </c>
      <c r="O42" s="139">
        <v>0.18372574872857411</v>
      </c>
      <c r="P42" s="139">
        <v>0.18372574872857411</v>
      </c>
      <c r="Q42" s="139">
        <v>0.18372574872857411</v>
      </c>
      <c r="R42" s="139">
        <v>0.18372574872857411</v>
      </c>
      <c r="S42" s="139">
        <v>0.18372574872857411</v>
      </c>
      <c r="T42" s="139">
        <v>0.18372574872857411</v>
      </c>
      <c r="U42" s="139">
        <v>0.18372574872857411</v>
      </c>
      <c r="V42" s="140">
        <v>0.18372574872857411</v>
      </c>
    </row>
    <row r="43" spans="3:22" x14ac:dyDescent="0.35">
      <c r="C43" s="1303" t="s">
        <v>852</v>
      </c>
      <c r="D43" s="2"/>
      <c r="E43" s="2"/>
      <c r="F43" s="2"/>
      <c r="G43" s="31"/>
      <c r="H43" s="138"/>
      <c r="I43" s="139"/>
      <c r="J43" s="139"/>
      <c r="K43" s="139"/>
      <c r="L43" s="139">
        <v>0.15852326238462988</v>
      </c>
      <c r="M43" s="139"/>
      <c r="N43" s="139"/>
      <c r="O43" s="139"/>
      <c r="P43" s="139"/>
      <c r="Q43" s="139"/>
      <c r="R43" s="139"/>
      <c r="S43" s="139"/>
      <c r="T43" s="139"/>
      <c r="U43" s="139"/>
      <c r="V43" s="140"/>
    </row>
    <row r="44" spans="3:22" x14ac:dyDescent="0.35">
      <c r="C44" s="1303" t="s">
        <v>853</v>
      </c>
      <c r="D44" s="2"/>
      <c r="E44" s="2"/>
      <c r="F44" s="2"/>
      <c r="G44" s="31"/>
      <c r="H44" s="138"/>
      <c r="I44" s="139"/>
      <c r="J44" s="139"/>
      <c r="K44" s="139"/>
      <c r="L44" s="139">
        <v>2.5202486343944244E-2</v>
      </c>
      <c r="M44" s="139"/>
      <c r="N44" s="139"/>
      <c r="O44" s="139"/>
      <c r="P44" s="139"/>
      <c r="Q44" s="139"/>
      <c r="R44" s="139"/>
      <c r="S44" s="139"/>
      <c r="T44" s="139"/>
      <c r="U44" s="139"/>
      <c r="V44" s="140"/>
    </row>
    <row r="45" spans="3:22" x14ac:dyDescent="0.35">
      <c r="C45" s="1302" t="s">
        <v>560</v>
      </c>
      <c r="D45" s="2"/>
      <c r="E45" s="2"/>
      <c r="F45" s="2"/>
      <c r="G45" s="31"/>
      <c r="H45" s="138">
        <v>0.81627425127142583</v>
      </c>
      <c r="I45" s="139">
        <v>0.81627425127142583</v>
      </c>
      <c r="J45" s="139">
        <v>0.81627425127142583</v>
      </c>
      <c r="K45" s="139">
        <v>0.81627425127142583</v>
      </c>
      <c r="L45" s="139">
        <v>0.81627425127142583</v>
      </c>
      <c r="M45" s="139">
        <v>0.81627425127142583</v>
      </c>
      <c r="N45" s="139">
        <v>0.81627425127142583</v>
      </c>
      <c r="O45" s="139">
        <v>0.81627425127142583</v>
      </c>
      <c r="P45" s="139">
        <v>0.81627425127142583</v>
      </c>
      <c r="Q45" s="139">
        <v>0.81627425127142583</v>
      </c>
      <c r="R45" s="139">
        <v>0.81627425127142583</v>
      </c>
      <c r="S45" s="139">
        <v>0.81627425127142583</v>
      </c>
      <c r="T45" s="139">
        <v>0.81627425127142583</v>
      </c>
      <c r="U45" s="139">
        <v>0.81627425127142583</v>
      </c>
      <c r="V45" s="140">
        <v>0.81627425127142583</v>
      </c>
    </row>
    <row r="46" spans="3:22" x14ac:dyDescent="0.35">
      <c r="C46" s="1303" t="s">
        <v>854</v>
      </c>
      <c r="D46" s="2"/>
      <c r="E46" s="2"/>
      <c r="F46" s="2"/>
      <c r="G46" s="31"/>
      <c r="H46" s="138"/>
      <c r="I46" s="139"/>
      <c r="J46" s="139"/>
      <c r="K46" s="139"/>
      <c r="L46" s="139">
        <v>0.17227349783386703</v>
      </c>
      <c r="M46" s="139"/>
      <c r="N46" s="139"/>
      <c r="O46" s="139"/>
      <c r="P46" s="139"/>
      <c r="Q46" s="139"/>
      <c r="R46" s="139"/>
      <c r="S46" s="139"/>
      <c r="T46" s="139"/>
      <c r="U46" s="139"/>
      <c r="V46" s="140"/>
    </row>
    <row r="47" spans="3:22" x14ac:dyDescent="0.35">
      <c r="C47" s="1303" t="s">
        <v>855</v>
      </c>
      <c r="D47" s="2"/>
      <c r="E47" s="2"/>
      <c r="F47" s="2"/>
      <c r="G47" s="31"/>
      <c r="H47" s="138"/>
      <c r="I47" s="139"/>
      <c r="J47" s="139"/>
      <c r="K47" s="139"/>
      <c r="L47" s="139">
        <v>0.15000941796948578</v>
      </c>
      <c r="M47" s="139"/>
      <c r="N47" s="139"/>
      <c r="O47" s="139"/>
      <c r="P47" s="139"/>
      <c r="Q47" s="139"/>
      <c r="R47" s="139"/>
      <c r="S47" s="139"/>
      <c r="T47" s="139"/>
      <c r="U47" s="139"/>
      <c r="V47" s="140"/>
    </row>
    <row r="48" spans="3:22" x14ac:dyDescent="0.35">
      <c r="C48" s="1303" t="s">
        <v>856</v>
      </c>
      <c r="D48" s="2"/>
      <c r="E48" s="2"/>
      <c r="F48" s="2"/>
      <c r="G48" s="31"/>
      <c r="H48" s="138"/>
      <c r="I48" s="139"/>
      <c r="J48" s="139"/>
      <c r="K48" s="139"/>
      <c r="L48" s="139">
        <v>0.49399133546807306</v>
      </c>
      <c r="M48" s="139"/>
      <c r="N48" s="139"/>
      <c r="O48" s="139"/>
      <c r="P48" s="139"/>
      <c r="Q48" s="139"/>
      <c r="R48" s="139"/>
      <c r="S48" s="139"/>
      <c r="T48" s="139"/>
      <c r="U48" s="139"/>
      <c r="V48" s="140"/>
    </row>
    <row r="49" spans="1:22" x14ac:dyDescent="0.35">
      <c r="C49" s="36" t="s">
        <v>845</v>
      </c>
      <c r="D49" s="19"/>
      <c r="E49" s="19"/>
      <c r="F49" s="19"/>
      <c r="G49" s="29"/>
      <c r="H49" s="138"/>
      <c r="I49" s="139"/>
      <c r="J49" s="139"/>
      <c r="K49" s="139"/>
      <c r="L49" s="139"/>
      <c r="M49" s="139"/>
      <c r="N49" s="139"/>
      <c r="O49" s="139"/>
      <c r="P49" s="139"/>
      <c r="Q49" s="139"/>
      <c r="R49" s="139"/>
      <c r="S49" s="139"/>
      <c r="T49" s="139"/>
      <c r="U49" s="139"/>
      <c r="V49" s="140"/>
    </row>
    <row r="50" spans="1:22" x14ac:dyDescent="0.35">
      <c r="C50" s="14" t="s">
        <v>843</v>
      </c>
      <c r="D50" s="2"/>
      <c r="E50" s="2" t="s">
        <v>464</v>
      </c>
      <c r="F50" s="2" t="s">
        <v>857</v>
      </c>
      <c r="G50" s="31"/>
      <c r="H50" s="138">
        <v>0.68720266058192769</v>
      </c>
      <c r="I50" s="139">
        <v>0.68720266058192769</v>
      </c>
      <c r="J50" s="139">
        <v>0.68720266058192769</v>
      </c>
      <c r="K50" s="139">
        <v>0.68720266058192769</v>
      </c>
      <c r="L50" s="139">
        <v>0.68720266058192769</v>
      </c>
      <c r="M50" s="139">
        <v>0.7168326310394898</v>
      </c>
      <c r="N50" s="139">
        <v>0.7464626014970519</v>
      </c>
      <c r="O50" s="139">
        <v>0.77609257195461401</v>
      </c>
      <c r="P50" s="139">
        <v>0.80572254241217611</v>
      </c>
      <c r="Q50" s="139">
        <v>0.83535251286973822</v>
      </c>
      <c r="R50" s="139">
        <v>0.86498248332730032</v>
      </c>
      <c r="S50" s="139">
        <v>0.89461245378486243</v>
      </c>
      <c r="T50" s="139">
        <v>0.9242424242424242</v>
      </c>
      <c r="U50" s="139">
        <v>0.9242424242424242</v>
      </c>
      <c r="V50" s="140">
        <v>0.9242424242424242</v>
      </c>
    </row>
    <row r="51" spans="1:22" x14ac:dyDescent="0.35">
      <c r="C51" s="1303" t="s">
        <v>852</v>
      </c>
      <c r="D51" s="2"/>
      <c r="E51" s="2"/>
      <c r="F51" s="2"/>
      <c r="G51" s="31"/>
      <c r="H51" s="138"/>
      <c r="I51" s="139"/>
      <c r="J51" s="139"/>
      <c r="K51" s="139"/>
      <c r="L51" s="139">
        <v>0.53870818606177207</v>
      </c>
      <c r="M51" s="139"/>
      <c r="N51" s="139"/>
      <c r="O51" s="139"/>
      <c r="P51" s="139"/>
      <c r="Q51" s="139"/>
      <c r="R51" s="139"/>
      <c r="S51" s="139"/>
      <c r="T51" s="139"/>
      <c r="U51" s="139"/>
      <c r="V51" s="140"/>
    </row>
    <row r="52" spans="1:22" x14ac:dyDescent="0.35">
      <c r="C52" s="1303" t="s">
        <v>853</v>
      </c>
      <c r="D52" s="2"/>
      <c r="E52" s="2"/>
      <c r="F52" s="2"/>
      <c r="G52" s="31"/>
      <c r="H52" s="138"/>
      <c r="I52" s="139"/>
      <c r="J52" s="139"/>
      <c r="K52" s="139"/>
      <c r="L52" s="139">
        <v>0.14849447452015571</v>
      </c>
      <c r="M52" s="139"/>
      <c r="N52" s="139"/>
      <c r="O52" s="139"/>
      <c r="P52" s="139"/>
      <c r="Q52" s="139"/>
      <c r="R52" s="139"/>
      <c r="S52" s="139"/>
      <c r="T52" s="139"/>
      <c r="U52" s="139"/>
      <c r="V52" s="140"/>
    </row>
    <row r="53" spans="1:22" x14ac:dyDescent="0.35">
      <c r="C53" s="14" t="s">
        <v>560</v>
      </c>
      <c r="D53" s="2"/>
      <c r="E53" s="2"/>
      <c r="F53" s="2"/>
      <c r="G53" s="31"/>
      <c r="H53" s="138">
        <v>0.31279733941807225</v>
      </c>
      <c r="I53" s="139">
        <v>0.31279733941807225</v>
      </c>
      <c r="J53" s="139">
        <v>0.31279733941807225</v>
      </c>
      <c r="K53" s="139">
        <v>0.31279733941807225</v>
      </c>
      <c r="L53" s="139">
        <v>0.31279733941807225</v>
      </c>
      <c r="M53" s="139">
        <v>0.2831673689605102</v>
      </c>
      <c r="N53" s="139">
        <v>0.25353739850294815</v>
      </c>
      <c r="O53" s="139">
        <v>0.2239074280453861</v>
      </c>
      <c r="P53" s="139">
        <v>0.19427745758782405</v>
      </c>
      <c r="Q53" s="139">
        <v>0.164647487130262</v>
      </c>
      <c r="R53" s="139">
        <v>0.13501751667269996</v>
      </c>
      <c r="S53" s="139">
        <v>0.10538754621513789</v>
      </c>
      <c r="T53" s="139">
        <v>7.575757575757576E-2</v>
      </c>
      <c r="U53" s="139">
        <v>7.575757575757576E-2</v>
      </c>
      <c r="V53" s="140">
        <v>7.575757575757576E-2</v>
      </c>
    </row>
    <row r="54" spans="1:22" x14ac:dyDescent="0.35">
      <c r="C54" s="1303" t="s">
        <v>854</v>
      </c>
      <c r="D54" s="2"/>
      <c r="E54" s="2"/>
      <c r="F54" s="2"/>
      <c r="G54" s="31"/>
      <c r="H54" s="138"/>
      <c r="I54" s="139"/>
      <c r="J54" s="139"/>
      <c r="K54" s="139"/>
      <c r="L54" s="139">
        <v>0</v>
      </c>
      <c r="M54" s="139"/>
      <c r="N54" s="139"/>
      <c r="O54" s="139"/>
      <c r="P54" s="139"/>
      <c r="Q54" s="139"/>
      <c r="R54" s="139"/>
      <c r="S54" s="139"/>
      <c r="T54" s="139"/>
      <c r="U54" s="139"/>
      <c r="V54" s="140"/>
    </row>
    <row r="55" spans="1:22" x14ac:dyDescent="0.35">
      <c r="C55" s="1303" t="s">
        <v>855</v>
      </c>
      <c r="D55" s="2"/>
      <c r="E55" s="2"/>
      <c r="F55" s="2"/>
      <c r="G55" s="31"/>
      <c r="H55" s="138"/>
      <c r="I55" s="139"/>
      <c r="J55" s="139"/>
      <c r="K55" s="139"/>
      <c r="L55" s="139">
        <v>1.9909623730481857E-2</v>
      </c>
      <c r="M55" s="139"/>
      <c r="N55" s="139"/>
      <c r="O55" s="139"/>
      <c r="P55" s="139"/>
      <c r="Q55" s="139"/>
      <c r="R55" s="139"/>
      <c r="S55" s="139"/>
      <c r="T55" s="139"/>
      <c r="U55" s="139"/>
      <c r="V55" s="140"/>
    </row>
    <row r="56" spans="1:22" x14ac:dyDescent="0.35">
      <c r="C56" s="1304" t="s">
        <v>856</v>
      </c>
      <c r="D56" s="21"/>
      <c r="E56" s="21"/>
      <c r="F56" s="21"/>
      <c r="G56" s="33"/>
      <c r="H56" s="141"/>
      <c r="I56" s="142"/>
      <c r="J56" s="142"/>
      <c r="K56" s="142"/>
      <c r="L56" s="142">
        <v>0.29288771568759042</v>
      </c>
      <c r="M56" s="142"/>
      <c r="N56" s="142"/>
      <c r="O56" s="142"/>
      <c r="P56" s="142"/>
      <c r="Q56" s="142"/>
      <c r="R56" s="142"/>
      <c r="S56" s="142"/>
      <c r="T56" s="142"/>
      <c r="U56" s="142"/>
      <c r="V56" s="143"/>
    </row>
    <row r="57" spans="1:22" x14ac:dyDescent="0.35">
      <c r="C57" s="349" t="s">
        <v>858</v>
      </c>
    </row>
    <row r="58" spans="1:22" x14ac:dyDescent="0.35">
      <c r="C58" s="1305" t="s">
        <v>859</v>
      </c>
      <c r="D58" s="349"/>
    </row>
    <row r="59" spans="1:22" x14ac:dyDescent="0.35">
      <c r="C59" s="349" t="s">
        <v>860</v>
      </c>
      <c r="D59" s="349"/>
    </row>
    <row r="60" spans="1:22" x14ac:dyDescent="0.35">
      <c r="C60" s="349" t="s">
        <v>861</v>
      </c>
      <c r="D60" s="349"/>
    </row>
    <row r="61" spans="1:22" x14ac:dyDescent="0.35">
      <c r="C61" s="349"/>
      <c r="D61" s="349"/>
    </row>
    <row r="62" spans="1:22" x14ac:dyDescent="0.35">
      <c r="A62" t="s">
        <v>862</v>
      </c>
      <c r="B62" s="102">
        <v>45810</v>
      </c>
      <c r="C62" s="35" t="s">
        <v>863</v>
      </c>
      <c r="D62" s="35"/>
      <c r="E62" s="35"/>
      <c r="H62" s="58"/>
      <c r="N62" s="83"/>
    </row>
    <row r="63" spans="1:22" x14ac:dyDescent="0.35">
      <c r="C63" s="16"/>
      <c r="D63" s="17"/>
      <c r="E63" s="17" t="s">
        <v>431</v>
      </c>
      <c r="F63" s="23" t="s">
        <v>432</v>
      </c>
      <c r="G63" s="2"/>
      <c r="H63" s="181">
        <v>2011</v>
      </c>
      <c r="I63" s="182">
        <v>2012</v>
      </c>
      <c r="J63" s="182">
        <v>2013</v>
      </c>
      <c r="K63" s="182">
        <v>2014</v>
      </c>
      <c r="L63" s="182">
        <v>2015</v>
      </c>
      <c r="M63" s="182">
        <v>2016</v>
      </c>
      <c r="N63" s="45">
        <v>2017</v>
      </c>
      <c r="O63" s="45">
        <v>2018</v>
      </c>
      <c r="P63" s="45">
        <v>2019</v>
      </c>
      <c r="Q63" s="45">
        <v>2020</v>
      </c>
      <c r="R63" s="45">
        <v>2021</v>
      </c>
      <c r="S63" s="45">
        <v>2022</v>
      </c>
      <c r="T63" s="45">
        <v>2023</v>
      </c>
      <c r="U63" s="45">
        <v>2024</v>
      </c>
      <c r="V63" s="46">
        <v>2025</v>
      </c>
    </row>
    <row r="64" spans="1:22" x14ac:dyDescent="0.35">
      <c r="C64" s="60" t="s">
        <v>842</v>
      </c>
      <c r="D64" s="2"/>
      <c r="E64" s="2" t="s">
        <v>444</v>
      </c>
      <c r="F64" s="26"/>
      <c r="G64" s="2"/>
      <c r="H64" s="717">
        <v>431.25</v>
      </c>
      <c r="I64" s="216">
        <v>441.25</v>
      </c>
      <c r="J64" s="216">
        <v>499.25</v>
      </c>
      <c r="K64" s="216">
        <v>393.5</v>
      </c>
      <c r="L64" s="216">
        <v>465.5</v>
      </c>
      <c r="M64" s="210">
        <v>367.5</v>
      </c>
      <c r="N64" s="750">
        <v>329.5</v>
      </c>
      <c r="O64" s="750">
        <v>340.75</v>
      </c>
      <c r="P64" s="750">
        <v>290.25</v>
      </c>
      <c r="Q64" s="750">
        <v>252.5</v>
      </c>
      <c r="R64" s="750">
        <v>134</v>
      </c>
      <c r="S64" s="750">
        <v>58.25</v>
      </c>
      <c r="T64" s="750">
        <v>97.25</v>
      </c>
      <c r="U64" s="210">
        <v>99.5</v>
      </c>
      <c r="V64" s="211">
        <v>105.51431601272535</v>
      </c>
    </row>
    <row r="65" spans="1:22" x14ac:dyDescent="0.35">
      <c r="C65" s="14" t="s">
        <v>843</v>
      </c>
      <c r="D65" s="2"/>
      <c r="E65" s="25" t="s">
        <v>268</v>
      </c>
      <c r="F65" s="26"/>
      <c r="G65" s="2"/>
      <c r="H65" s="718">
        <v>82.860542333772827</v>
      </c>
      <c r="I65" s="719">
        <v>84.781946213976255</v>
      </c>
      <c r="J65" s="719">
        <v>95.926088719156141</v>
      </c>
      <c r="K65" s="719">
        <v>75.607242686004881</v>
      </c>
      <c r="L65" s="719">
        <v>89.44135062346956</v>
      </c>
      <c r="M65" s="715">
        <v>67.948364773403654</v>
      </c>
      <c r="N65" s="719">
        <v>61.978720480813713</v>
      </c>
      <c r="O65" s="719">
        <v>65.187211896907144</v>
      </c>
      <c r="P65" s="719">
        <v>56.456786147794304</v>
      </c>
      <c r="Q65" s="719">
        <v>49.923462953701261</v>
      </c>
      <c r="R65" s="719">
        <v>26.923612160482197</v>
      </c>
      <c r="S65" s="719">
        <v>11.703734390657374</v>
      </c>
      <c r="T65" s="719">
        <v>19.539711064230552</v>
      </c>
      <c r="U65" s="715">
        <v>21.424994462233943</v>
      </c>
      <c r="V65" s="212">
        <v>22.720036545317008</v>
      </c>
    </row>
    <row r="66" spans="1:22" x14ac:dyDescent="0.35">
      <c r="C66" s="14" t="s">
        <v>844</v>
      </c>
      <c r="D66" s="2"/>
      <c r="E66" s="25" t="s">
        <v>268</v>
      </c>
      <c r="F66" s="26"/>
      <c r="G66" s="2"/>
      <c r="H66" s="720">
        <v>368.14070766622712</v>
      </c>
      <c r="I66" s="207">
        <v>376.67730378602369</v>
      </c>
      <c r="J66" s="207">
        <v>426.1895612808438</v>
      </c>
      <c r="K66" s="207">
        <v>335.91505731399502</v>
      </c>
      <c r="L66" s="207">
        <v>397.37854937653037</v>
      </c>
      <c r="M66" s="213">
        <v>301.88746522659636</v>
      </c>
      <c r="N66" s="207">
        <v>275.36496111918626</v>
      </c>
      <c r="O66" s="207">
        <v>289.61995230309287</v>
      </c>
      <c r="P66" s="207">
        <v>250.83158545220564</v>
      </c>
      <c r="Q66" s="207">
        <v>221.80471504629872</v>
      </c>
      <c r="R66" s="207">
        <v>119.61878783951778</v>
      </c>
      <c r="S66" s="207">
        <v>51.998465609342617</v>
      </c>
      <c r="T66" s="207">
        <v>86.812888935769422</v>
      </c>
      <c r="U66" s="213">
        <v>95.18900553776605</v>
      </c>
      <c r="V66" s="214">
        <v>100.94274182159708</v>
      </c>
    </row>
    <row r="67" spans="1:22" x14ac:dyDescent="0.35">
      <c r="C67" s="61" t="s">
        <v>845</v>
      </c>
      <c r="D67" s="19"/>
      <c r="E67" s="19" t="s">
        <v>444</v>
      </c>
      <c r="F67" s="24"/>
      <c r="G67" s="2"/>
      <c r="H67" s="723">
        <v>1293.5</v>
      </c>
      <c r="I67" s="59">
        <v>1126.75</v>
      </c>
      <c r="J67" s="59">
        <v>1263.25</v>
      </c>
      <c r="K67" s="59">
        <v>1149.75</v>
      </c>
      <c r="L67" s="59">
        <v>1464</v>
      </c>
      <c r="M67" s="722">
        <v>1307.5</v>
      </c>
      <c r="N67" s="751">
        <v>1209</v>
      </c>
      <c r="O67" s="751">
        <v>1174.5</v>
      </c>
      <c r="P67" s="751">
        <v>1252.5</v>
      </c>
      <c r="Q67" s="751">
        <v>1044.75</v>
      </c>
      <c r="R67" s="751">
        <v>1081</v>
      </c>
      <c r="S67" s="751">
        <v>898.75</v>
      </c>
      <c r="T67" s="751">
        <v>958.5</v>
      </c>
      <c r="U67" s="722">
        <v>1092.25</v>
      </c>
      <c r="V67" s="732">
        <v>1158.2714740190879</v>
      </c>
    </row>
    <row r="68" spans="1:22" x14ac:dyDescent="0.35">
      <c r="C68" s="14" t="s">
        <v>843</v>
      </c>
      <c r="D68" s="2"/>
      <c r="E68" s="25" t="s">
        <v>268</v>
      </c>
      <c r="F68" s="26"/>
      <c r="G68" s="2"/>
      <c r="H68" s="724">
        <v>888.89664146272344</v>
      </c>
      <c r="I68" s="749">
        <v>774.305597810687</v>
      </c>
      <c r="J68" s="749">
        <v>868.10876098012011</v>
      </c>
      <c r="K68" s="749">
        <v>790.11125900407137</v>
      </c>
      <c r="L68" s="749">
        <v>1006.0646950919421</v>
      </c>
      <c r="M68" s="452">
        <v>937.25866508413287</v>
      </c>
      <c r="N68" s="749">
        <v>902.47328520993574</v>
      </c>
      <c r="O68" s="749">
        <v>911.52072576069418</v>
      </c>
      <c r="P68" s="749">
        <v>1009.1674843712506</v>
      </c>
      <c r="Q68" s="749">
        <v>872.73453782065906</v>
      </c>
      <c r="R68" s="749">
        <v>935.04606447681169</v>
      </c>
      <c r="S68" s="749">
        <v>804.03294283914511</v>
      </c>
      <c r="T68" s="749">
        <v>885.88636363636363</v>
      </c>
      <c r="U68" s="452">
        <v>1009.5037878787879</v>
      </c>
      <c r="V68" s="458">
        <v>1070.5236350782479</v>
      </c>
    </row>
    <row r="69" spans="1:22" x14ac:dyDescent="0.35">
      <c r="C69" s="20" t="s">
        <v>844</v>
      </c>
      <c r="D69" s="21"/>
      <c r="E69" s="22" t="s">
        <v>268</v>
      </c>
      <c r="F69" s="27"/>
      <c r="G69" s="2"/>
      <c r="H69" s="725">
        <v>404.60335853727645</v>
      </c>
      <c r="I69" s="726">
        <v>352.44440218931288</v>
      </c>
      <c r="J69" s="726">
        <v>395.14123901987978</v>
      </c>
      <c r="K69" s="726">
        <v>359.63874099592857</v>
      </c>
      <c r="L69" s="726">
        <v>457.93530490805779</v>
      </c>
      <c r="M69" s="460">
        <v>370.24133491586707</v>
      </c>
      <c r="N69" s="726">
        <v>306.52671479006432</v>
      </c>
      <c r="O69" s="726">
        <v>262.97927423930599</v>
      </c>
      <c r="P69" s="726">
        <v>243.33251562874963</v>
      </c>
      <c r="Q69" s="726">
        <v>172.01546217934123</v>
      </c>
      <c r="R69" s="726">
        <v>145.95393552318865</v>
      </c>
      <c r="S69" s="726">
        <v>94.717057160855177</v>
      </c>
      <c r="T69" s="726">
        <v>72.61363636363636</v>
      </c>
      <c r="U69" s="460">
        <v>82.746212121212125</v>
      </c>
      <c r="V69" s="459">
        <v>87.747838940839998</v>
      </c>
    </row>
    <row r="70" spans="1:22" x14ac:dyDescent="0.35">
      <c r="A70" s="984" t="s">
        <v>792</v>
      </c>
      <c r="C70" s="62" t="s">
        <v>846</v>
      </c>
      <c r="D70" s="63"/>
      <c r="E70" s="63"/>
      <c r="F70" s="64"/>
      <c r="H70" s="752">
        <f>SUM(H66+H69)</f>
        <v>772.74406620350351</v>
      </c>
      <c r="I70" s="753">
        <f t="shared" ref="I70:V70" si="1">SUM(I66+I69)</f>
        <v>729.12170597533657</v>
      </c>
      <c r="J70" s="753">
        <f t="shared" si="1"/>
        <v>821.33080030072358</v>
      </c>
      <c r="K70" s="753">
        <f t="shared" si="1"/>
        <v>695.55379830992365</v>
      </c>
      <c r="L70" s="753">
        <f t="shared" si="1"/>
        <v>855.31385428458816</v>
      </c>
      <c r="M70" s="753">
        <f t="shared" si="1"/>
        <v>672.12880014246343</v>
      </c>
      <c r="N70" s="753">
        <f t="shared" si="1"/>
        <v>581.89167590925058</v>
      </c>
      <c r="O70" s="753">
        <f t="shared" si="1"/>
        <v>552.59922654239881</v>
      </c>
      <c r="P70" s="753">
        <f t="shared" si="1"/>
        <v>494.16410108095528</v>
      </c>
      <c r="Q70" s="753">
        <f t="shared" si="1"/>
        <v>393.82017722563995</v>
      </c>
      <c r="R70" s="753">
        <f t="shared" si="1"/>
        <v>265.57272336270643</v>
      </c>
      <c r="S70" s="753">
        <f t="shared" si="1"/>
        <v>146.71552277019779</v>
      </c>
      <c r="T70" s="753">
        <f t="shared" si="1"/>
        <v>159.4265252994058</v>
      </c>
      <c r="U70" s="753">
        <f t="shared" si="1"/>
        <v>177.93521765897816</v>
      </c>
      <c r="V70" s="754">
        <f t="shared" si="1"/>
        <v>188.69058076243709</v>
      </c>
    </row>
    <row r="71" spans="1:22" ht="15.65" customHeight="1" x14ac:dyDescent="0.35"/>
    <row r="72" spans="1:22" ht="15.65" customHeight="1" x14ac:dyDescent="0.35">
      <c r="C72" s="15" t="s">
        <v>819</v>
      </c>
    </row>
    <row r="73" spans="1:22" ht="15.65" customHeight="1" x14ac:dyDescent="0.35">
      <c r="C73" s="260" t="s">
        <v>814</v>
      </c>
      <c r="D73" s="73"/>
      <c r="E73" s="73" t="s">
        <v>464</v>
      </c>
      <c r="F73" s="29"/>
      <c r="H73" s="758">
        <f>-(N66-T66)/N66</f>
        <v>-0.68473516534954426</v>
      </c>
    </row>
    <row r="74" spans="1:22" ht="15.65" customHeight="1" x14ac:dyDescent="0.35">
      <c r="C74" s="14" t="s">
        <v>815</v>
      </c>
      <c r="E74" t="s">
        <v>464</v>
      </c>
      <c r="F74" s="31"/>
      <c r="H74" s="253">
        <f>-(H66-T66)/H66</f>
        <v>-0.76418557598232828</v>
      </c>
    </row>
    <row r="75" spans="1:22" ht="15.65" customHeight="1" x14ac:dyDescent="0.35">
      <c r="C75" s="14" t="s">
        <v>816</v>
      </c>
      <c r="E75" t="s">
        <v>817</v>
      </c>
      <c r="F75" s="31"/>
      <c r="H75" s="251">
        <f>AVERAGE(Q36:V36)</f>
        <v>843.70846252093145</v>
      </c>
    </row>
    <row r="76" spans="1:22" ht="15.65" customHeight="1" x14ac:dyDescent="0.35">
      <c r="C76" s="20" t="s">
        <v>818</v>
      </c>
      <c r="D76" s="100"/>
      <c r="E76" s="100" t="s">
        <v>817</v>
      </c>
      <c r="F76" s="33"/>
      <c r="H76" s="736">
        <f>AVERAGE(K36:Q36)</f>
        <v>2379.4116477908328</v>
      </c>
    </row>
    <row r="77" spans="1:22" ht="15.65" customHeight="1" x14ac:dyDescent="0.35">
      <c r="C77" s="115"/>
      <c r="H77" s="183"/>
    </row>
    <row r="78" spans="1:22" ht="15.65" customHeight="1" x14ac:dyDescent="0.35">
      <c r="A78" t="s">
        <v>864</v>
      </c>
      <c r="C78" s="15" t="s">
        <v>865</v>
      </c>
      <c r="H78" s="181">
        <v>2011</v>
      </c>
      <c r="I78" s="182">
        <v>2012</v>
      </c>
      <c r="J78" s="182">
        <v>2013</v>
      </c>
      <c r="K78" s="182">
        <v>2014</v>
      </c>
      <c r="L78" s="182">
        <v>2015</v>
      </c>
      <c r="M78" s="182">
        <v>2016</v>
      </c>
      <c r="N78" s="45">
        <v>2017</v>
      </c>
      <c r="O78" s="45">
        <v>2018</v>
      </c>
      <c r="P78" s="45">
        <v>2019</v>
      </c>
      <c r="Q78" s="45">
        <v>2020</v>
      </c>
      <c r="R78" s="45">
        <v>2021</v>
      </c>
      <c r="S78" s="45">
        <v>2022</v>
      </c>
      <c r="T78" s="45">
        <v>2023</v>
      </c>
      <c r="U78" s="45">
        <v>2024</v>
      </c>
      <c r="V78" s="46">
        <v>2025</v>
      </c>
    </row>
    <row r="79" spans="1:22" ht="15.65" customHeight="1" x14ac:dyDescent="0.35">
      <c r="C79" s="260" t="s">
        <v>866</v>
      </c>
      <c r="D79" s="73"/>
      <c r="E79" s="19" t="s">
        <v>444</v>
      </c>
      <c r="F79" s="29"/>
      <c r="H79" s="994">
        <v>12.18</v>
      </c>
      <c r="I79" s="995">
        <v>19.14</v>
      </c>
      <c r="J79" s="995">
        <v>13.92</v>
      </c>
      <c r="K79" s="995">
        <v>23.2</v>
      </c>
      <c r="L79" s="995">
        <v>28.202999999999999</v>
      </c>
      <c r="M79" s="995">
        <v>43.353400000000001</v>
      </c>
      <c r="N79" s="995">
        <v>41.053230000000006</v>
      </c>
      <c r="O79" s="995">
        <v>32.638849</v>
      </c>
      <c r="P79" s="995">
        <v>123.9301272</v>
      </c>
      <c r="Q79" s="995">
        <v>79.360587249999995</v>
      </c>
      <c r="R79" s="995">
        <v>272.78500000000003</v>
      </c>
      <c r="S79" s="995">
        <v>242.08</v>
      </c>
      <c r="T79" s="995">
        <v>231.4</v>
      </c>
      <c r="U79" s="995">
        <v>250.66</v>
      </c>
      <c r="V79" s="996">
        <v>257.20333333333332</v>
      </c>
    </row>
    <row r="80" spans="1:22" ht="15.65" customHeight="1" x14ac:dyDescent="0.35">
      <c r="C80" s="14" t="s">
        <v>867</v>
      </c>
      <c r="E80" s="25" t="s">
        <v>268</v>
      </c>
      <c r="F80" s="31"/>
      <c r="H80" s="30">
        <v>0</v>
      </c>
      <c r="I80">
        <v>0</v>
      </c>
      <c r="J80">
        <v>25.38</v>
      </c>
      <c r="K80">
        <v>0.54</v>
      </c>
      <c r="L80">
        <v>1.5629999999999999</v>
      </c>
      <c r="M80">
        <v>0</v>
      </c>
      <c r="N80">
        <v>0</v>
      </c>
      <c r="O80">
        <v>1.898636</v>
      </c>
      <c r="P80">
        <v>0.92438620000000005</v>
      </c>
      <c r="Q80">
        <v>0</v>
      </c>
      <c r="R80">
        <v>0</v>
      </c>
      <c r="S80">
        <v>0</v>
      </c>
      <c r="T80">
        <v>0</v>
      </c>
      <c r="U80">
        <v>0</v>
      </c>
      <c r="V80" s="31">
        <v>0</v>
      </c>
    </row>
    <row r="81" spans="3:22" ht="15.65" customHeight="1" x14ac:dyDescent="0.35">
      <c r="C81" s="14" t="s">
        <v>868</v>
      </c>
      <c r="E81" s="25" t="s">
        <v>268</v>
      </c>
      <c r="F81" s="31"/>
      <c r="H81" s="30">
        <v>109</v>
      </c>
      <c r="I81">
        <v>85</v>
      </c>
      <c r="J81">
        <v>89</v>
      </c>
      <c r="K81">
        <v>20</v>
      </c>
      <c r="L81">
        <v>190</v>
      </c>
      <c r="M81">
        <v>208</v>
      </c>
      <c r="N81">
        <v>289</v>
      </c>
      <c r="O81">
        <v>257</v>
      </c>
      <c r="P81">
        <v>461</v>
      </c>
      <c r="Q81">
        <v>664</v>
      </c>
      <c r="R81">
        <v>1062</v>
      </c>
      <c r="S81">
        <v>949</v>
      </c>
      <c r="T81">
        <v>880</v>
      </c>
      <c r="U81">
        <v>785</v>
      </c>
      <c r="V81" s="31">
        <v>973.47319347319342</v>
      </c>
    </row>
    <row r="82" spans="3:22" ht="15.65" customHeight="1" x14ac:dyDescent="0.35">
      <c r="C82" s="14" t="s">
        <v>869</v>
      </c>
      <c r="F82" s="31"/>
      <c r="H82" s="30">
        <f>H66</f>
        <v>368.14070766622712</v>
      </c>
      <c r="I82" s="183">
        <f t="shared" ref="I82:V82" si="2">I66</f>
        <v>376.67730378602369</v>
      </c>
      <c r="J82" s="183">
        <f t="shared" si="2"/>
        <v>426.1895612808438</v>
      </c>
      <c r="K82" s="183">
        <f t="shared" si="2"/>
        <v>335.91505731399502</v>
      </c>
      <c r="L82" s="183">
        <f t="shared" si="2"/>
        <v>397.37854937653037</v>
      </c>
      <c r="M82" s="183">
        <f t="shared" si="2"/>
        <v>301.88746522659636</v>
      </c>
      <c r="N82" s="183">
        <f t="shared" si="2"/>
        <v>275.36496111918626</v>
      </c>
      <c r="O82" s="183">
        <f t="shared" si="2"/>
        <v>289.61995230309287</v>
      </c>
      <c r="P82" s="183">
        <f t="shared" si="2"/>
        <v>250.83158545220564</v>
      </c>
      <c r="Q82" s="183">
        <f t="shared" si="2"/>
        <v>221.80471504629872</v>
      </c>
      <c r="R82" s="183">
        <f t="shared" si="2"/>
        <v>119.61878783951778</v>
      </c>
      <c r="S82" s="183">
        <f t="shared" si="2"/>
        <v>51.998465609342617</v>
      </c>
      <c r="T82" s="183">
        <f t="shared" si="2"/>
        <v>86.812888935769422</v>
      </c>
      <c r="U82" s="183">
        <f t="shared" si="2"/>
        <v>95.18900553776605</v>
      </c>
      <c r="V82" s="51">
        <f t="shared" si="2"/>
        <v>100.94274182159708</v>
      </c>
    </row>
    <row r="83" spans="3:22" ht="15.65" customHeight="1" x14ac:dyDescent="0.35">
      <c r="C83" s="20" t="s">
        <v>870</v>
      </c>
      <c r="D83" s="100"/>
      <c r="E83" s="100"/>
      <c r="F83" s="33"/>
      <c r="H83" s="416">
        <f>H69</f>
        <v>404.60335853727645</v>
      </c>
      <c r="I83" s="32">
        <f t="shared" ref="I83:V83" si="3">I69</f>
        <v>352.44440218931288</v>
      </c>
      <c r="J83" s="32">
        <f t="shared" si="3"/>
        <v>395.14123901987978</v>
      </c>
      <c r="K83" s="32">
        <f t="shared" si="3"/>
        <v>359.63874099592857</v>
      </c>
      <c r="L83" s="32">
        <f t="shared" si="3"/>
        <v>457.93530490805779</v>
      </c>
      <c r="M83" s="32">
        <f t="shared" si="3"/>
        <v>370.24133491586707</v>
      </c>
      <c r="N83" s="32">
        <f t="shared" si="3"/>
        <v>306.52671479006432</v>
      </c>
      <c r="O83" s="32">
        <f t="shared" si="3"/>
        <v>262.97927423930599</v>
      </c>
      <c r="P83" s="32">
        <f t="shared" si="3"/>
        <v>243.33251562874963</v>
      </c>
      <c r="Q83" s="32">
        <f t="shared" si="3"/>
        <v>172.01546217934123</v>
      </c>
      <c r="R83" s="32">
        <f t="shared" si="3"/>
        <v>145.95393552318865</v>
      </c>
      <c r="S83" s="32">
        <f t="shared" si="3"/>
        <v>94.717057160855177</v>
      </c>
      <c r="T83" s="32">
        <f t="shared" si="3"/>
        <v>72.61363636363636</v>
      </c>
      <c r="U83" s="32">
        <f t="shared" si="3"/>
        <v>82.746212121212125</v>
      </c>
      <c r="V83" s="368">
        <f t="shared" si="3"/>
        <v>87.747838940839998</v>
      </c>
    </row>
    <row r="84" spans="3:22" ht="15.65" customHeight="1" x14ac:dyDescent="0.35">
      <c r="C84" s="355" t="s">
        <v>277</v>
      </c>
      <c r="D84" s="63"/>
      <c r="E84" s="63"/>
      <c r="F84" s="64"/>
      <c r="H84" s="997">
        <f>SUM(H79:H83)</f>
        <v>893.92406620350357</v>
      </c>
      <c r="I84" s="230">
        <f t="shared" ref="I84:V84" si="4">SUM(I79:I83)</f>
        <v>833.26170597533655</v>
      </c>
      <c r="J84" s="230">
        <f t="shared" si="4"/>
        <v>949.63080030072365</v>
      </c>
      <c r="K84" s="230">
        <f t="shared" si="4"/>
        <v>739.29379830992366</v>
      </c>
      <c r="L84" s="230">
        <f t="shared" si="4"/>
        <v>1075.0798542845882</v>
      </c>
      <c r="M84" s="230">
        <f t="shared" si="4"/>
        <v>923.4822001424634</v>
      </c>
      <c r="N84" s="230">
        <f t="shared" si="4"/>
        <v>911.94490590925056</v>
      </c>
      <c r="O84" s="230">
        <f t="shared" si="4"/>
        <v>844.13671154239887</v>
      </c>
      <c r="P84" s="230">
        <f t="shared" si="4"/>
        <v>1080.0186144809552</v>
      </c>
      <c r="Q84" s="230">
        <f t="shared" si="4"/>
        <v>1137.18076447564</v>
      </c>
      <c r="R84" s="230">
        <f t="shared" si="4"/>
        <v>1600.3577233627066</v>
      </c>
      <c r="S84" s="230">
        <f t="shared" si="4"/>
        <v>1337.7955227701977</v>
      </c>
      <c r="T84" s="230">
        <f t="shared" si="4"/>
        <v>1270.8265252994058</v>
      </c>
      <c r="U84" s="230">
        <f t="shared" si="4"/>
        <v>1213.5952176589781</v>
      </c>
      <c r="V84" s="998">
        <f t="shared" si="4"/>
        <v>1419.3671075689638</v>
      </c>
    </row>
    <row r="85" spans="3:22" ht="15.65" customHeight="1" x14ac:dyDescent="0.35">
      <c r="C85" s="115"/>
      <c r="H85" s="183"/>
    </row>
    <row r="86" spans="3:22" ht="15.65" customHeight="1" x14ac:dyDescent="0.35">
      <c r="C86" s="115"/>
      <c r="H86" s="18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2B29B-A143-4E66-AF3D-AE007377BE64}">
  <dimension ref="A1:W111"/>
  <sheetViews>
    <sheetView showGridLines="0" zoomScale="55" zoomScaleNormal="55" workbookViewId="0">
      <pane ySplit="1" topLeftCell="A2" activePane="bottomLeft" state="frozen"/>
      <selection pane="bottomLeft" activeCell="G119" sqref="G119"/>
    </sheetView>
  </sheetViews>
  <sheetFormatPr baseColWidth="10" defaultColWidth="11.453125" defaultRowHeight="14.5" x14ac:dyDescent="0.35"/>
  <cols>
    <col min="1" max="1" width="22" customWidth="1"/>
    <col min="2" max="2" width="14.1796875" customWidth="1"/>
    <col min="6" max="7" width="21.453125" customWidth="1"/>
    <col min="8" max="8" width="14.453125" customWidth="1"/>
    <col min="9" max="9" width="13.81640625" customWidth="1"/>
    <col min="10" max="10" width="15.1796875" customWidth="1"/>
    <col min="11" max="11" width="13.81640625" customWidth="1"/>
    <col min="12" max="12" width="12.1796875" customWidth="1"/>
    <col min="14" max="20" width="13.453125" bestFit="1" customWidth="1"/>
  </cols>
  <sheetData>
    <row r="1" spans="1:20" ht="21" x14ac:dyDescent="0.35">
      <c r="A1" s="103" t="s">
        <v>413</v>
      </c>
      <c r="B1" s="103" t="s">
        <v>414</v>
      </c>
      <c r="C1" s="1" t="s">
        <v>276</v>
      </c>
      <c r="H1" s="175">
        <v>2011</v>
      </c>
      <c r="I1" s="176">
        <v>2012</v>
      </c>
      <c r="J1" s="176">
        <v>2013</v>
      </c>
      <c r="K1" s="176">
        <v>2014</v>
      </c>
      <c r="L1" s="176">
        <v>2015</v>
      </c>
      <c r="M1" s="176">
        <v>2016</v>
      </c>
      <c r="N1" s="176">
        <v>2017</v>
      </c>
      <c r="O1" s="176">
        <v>2018</v>
      </c>
      <c r="P1" s="176">
        <v>2019</v>
      </c>
      <c r="Q1" s="176">
        <v>2020</v>
      </c>
      <c r="R1" s="176">
        <v>2021</v>
      </c>
      <c r="S1" s="176">
        <v>2022</v>
      </c>
      <c r="T1" s="177">
        <v>2023</v>
      </c>
    </row>
    <row r="2" spans="1:20" x14ac:dyDescent="0.35">
      <c r="M2" s="2"/>
      <c r="N2" s="3" t="s">
        <v>794</v>
      </c>
      <c r="O2" s="4"/>
      <c r="P2" s="4"/>
      <c r="Q2" s="4"/>
      <c r="R2" s="4"/>
      <c r="S2" s="4"/>
      <c r="T2" s="5"/>
    </row>
    <row r="4" spans="1:20" x14ac:dyDescent="0.35">
      <c r="N4" s="6" t="s">
        <v>794</v>
      </c>
      <c r="O4" s="6" t="s">
        <v>794</v>
      </c>
      <c r="P4" s="6" t="s">
        <v>794</v>
      </c>
      <c r="Q4" s="6" t="s">
        <v>794</v>
      </c>
      <c r="R4" s="6" t="s">
        <v>794</v>
      </c>
      <c r="S4" s="6" t="s">
        <v>794</v>
      </c>
      <c r="T4" s="6" t="s">
        <v>794</v>
      </c>
    </row>
    <row r="5" spans="1:20" x14ac:dyDescent="0.35">
      <c r="C5" s="7" t="s">
        <v>416</v>
      </c>
    </row>
    <row r="6" spans="1:20" x14ac:dyDescent="0.35">
      <c r="C6" t="s">
        <v>871</v>
      </c>
    </row>
    <row r="7" spans="1:20" x14ac:dyDescent="0.35">
      <c r="C7" s="7"/>
    </row>
    <row r="8" spans="1:20" x14ac:dyDescent="0.35">
      <c r="C8" s="7" t="s">
        <v>418</v>
      </c>
    </row>
    <row r="9" spans="1:20" x14ac:dyDescent="0.35">
      <c r="C9" s="7"/>
    </row>
    <row r="10" spans="1:20" x14ac:dyDescent="0.35">
      <c r="C10" s="7"/>
    </row>
    <row r="11" spans="1:20" x14ac:dyDescent="0.35">
      <c r="C11" s="7"/>
    </row>
    <row r="12" spans="1:20" x14ac:dyDescent="0.35">
      <c r="C12" s="7"/>
    </row>
    <row r="13" spans="1:20" x14ac:dyDescent="0.35">
      <c r="C13" s="7"/>
    </row>
    <row r="14" spans="1:20" x14ac:dyDescent="0.35">
      <c r="C14" s="7"/>
    </row>
    <row r="15" spans="1:20" x14ac:dyDescent="0.35">
      <c r="C15" s="7"/>
    </row>
    <row r="16" spans="1:20" x14ac:dyDescent="0.35">
      <c r="C16" s="7"/>
    </row>
    <row r="17" spans="1:23" x14ac:dyDescent="0.35">
      <c r="C17" s="7"/>
    </row>
    <row r="20" spans="1:23" s="8" customFormat="1" ht="21" x14ac:dyDescent="0.5">
      <c r="C20" s="9" t="s">
        <v>797</v>
      </c>
      <c r="P20" s="10"/>
    </row>
    <row r="22" spans="1:23" x14ac:dyDescent="0.35">
      <c r="C22" s="7" t="s">
        <v>422</v>
      </c>
    </row>
    <row r="24" spans="1:23" x14ac:dyDescent="0.35">
      <c r="C24" s="104" t="s">
        <v>872</v>
      </c>
    </row>
    <row r="25" spans="1:23" ht="21" x14ac:dyDescent="0.5">
      <c r="C25" s="52"/>
    </row>
    <row r="26" spans="1:23" x14ac:dyDescent="0.35">
      <c r="C26" s="7" t="s">
        <v>427</v>
      </c>
    </row>
    <row r="27" spans="1:23" x14ac:dyDescent="0.35">
      <c r="C27" s="7"/>
    </row>
    <row r="28" spans="1:23" x14ac:dyDescent="0.35">
      <c r="A28" t="s">
        <v>873</v>
      </c>
      <c r="C28" s="35" t="s">
        <v>874</v>
      </c>
      <c r="U28" s="397"/>
      <c r="V28" s="397"/>
      <c r="W28" s="397"/>
    </row>
    <row r="29" spans="1:23" x14ac:dyDescent="0.35">
      <c r="C29" s="18"/>
      <c r="D29" s="19"/>
      <c r="E29" s="19" t="s">
        <v>431</v>
      </c>
      <c r="F29" s="24" t="s">
        <v>432</v>
      </c>
      <c r="H29" s="179">
        <v>2011</v>
      </c>
      <c r="I29" s="180">
        <v>2012</v>
      </c>
      <c r="J29" s="180">
        <v>2013</v>
      </c>
      <c r="K29" s="180">
        <v>2014</v>
      </c>
      <c r="L29" s="180">
        <v>2015</v>
      </c>
      <c r="M29" s="180">
        <v>2016</v>
      </c>
      <c r="N29" s="12">
        <v>2017</v>
      </c>
      <c r="O29" s="12">
        <v>2018</v>
      </c>
      <c r="P29" s="12">
        <v>2019</v>
      </c>
      <c r="Q29" s="12">
        <v>2020</v>
      </c>
      <c r="R29" s="12">
        <v>2021</v>
      </c>
      <c r="S29" s="12">
        <v>2022</v>
      </c>
      <c r="T29" s="13">
        <v>2023</v>
      </c>
      <c r="U29" s="397"/>
      <c r="V29" s="397"/>
      <c r="W29" s="397"/>
    </row>
    <row r="30" spans="1:23" x14ac:dyDescent="0.35">
      <c r="C30" s="36" t="s">
        <v>875</v>
      </c>
      <c r="D30" s="19"/>
      <c r="E30" s="19" t="s">
        <v>876</v>
      </c>
      <c r="F30" s="24" t="s">
        <v>437</v>
      </c>
      <c r="H30" s="1107"/>
      <c r="I30" s="1107"/>
      <c r="J30" s="1107"/>
      <c r="K30" s="1107"/>
      <c r="L30" s="1108">
        <v>2227</v>
      </c>
      <c r="M30" s="1108">
        <v>2488</v>
      </c>
      <c r="N30" s="1107"/>
      <c r="O30" s="1107"/>
      <c r="P30" s="1107"/>
      <c r="Q30" s="1107"/>
      <c r="R30" s="1108">
        <v>2900</v>
      </c>
      <c r="S30" s="1108">
        <v>2800</v>
      </c>
      <c r="T30" s="1108">
        <f>3400</f>
        <v>3400</v>
      </c>
      <c r="U30" s="1086"/>
      <c r="V30" s="1086"/>
      <c r="W30" s="397"/>
    </row>
    <row r="31" spans="1:23" x14ac:dyDescent="0.35">
      <c r="C31" s="75" t="s">
        <v>877</v>
      </c>
      <c r="D31" s="2"/>
      <c r="E31" s="2" t="s">
        <v>268</v>
      </c>
      <c r="F31" s="26" t="s">
        <v>268</v>
      </c>
      <c r="H31" s="1105"/>
      <c r="I31" s="1105"/>
      <c r="J31" s="1105"/>
      <c r="K31" s="1105"/>
      <c r="L31" s="1105"/>
      <c r="M31" s="1105"/>
      <c r="N31" s="1105"/>
      <c r="O31" s="1106"/>
      <c r="P31" s="1106"/>
      <c r="Q31" s="1105">
        <v>866</v>
      </c>
      <c r="R31" s="1105">
        <v>1382</v>
      </c>
      <c r="S31" s="1105">
        <v>1092</v>
      </c>
      <c r="T31" s="1105">
        <v>1209</v>
      </c>
      <c r="U31" s="1087"/>
      <c r="V31" s="1087"/>
      <c r="W31" s="397"/>
    </row>
    <row r="32" spans="1:23" x14ac:dyDescent="0.35">
      <c r="C32" s="75" t="s">
        <v>878</v>
      </c>
      <c r="D32" s="2"/>
      <c r="E32" s="2" t="s">
        <v>268</v>
      </c>
      <c r="F32" s="26" t="s">
        <v>268</v>
      </c>
      <c r="H32" s="1105"/>
      <c r="I32" s="1105"/>
      <c r="J32" s="1105"/>
      <c r="K32" s="1105"/>
      <c r="L32" s="1105"/>
      <c r="M32" s="1105"/>
      <c r="N32" s="1105"/>
      <c r="O32" s="1106"/>
      <c r="P32" s="1106"/>
      <c r="Q32" s="1105">
        <v>519</v>
      </c>
      <c r="R32" s="1105">
        <v>650</v>
      </c>
      <c r="S32" s="1105">
        <v>921</v>
      </c>
      <c r="T32" s="1105">
        <v>1258</v>
      </c>
      <c r="U32" s="1087"/>
      <c r="V32" s="1087"/>
      <c r="W32" s="397"/>
    </row>
    <row r="33" spans="3:23" x14ac:dyDescent="0.35">
      <c r="C33" s="1103" t="s">
        <v>879</v>
      </c>
      <c r="D33" s="1088"/>
      <c r="E33" s="1088" t="s">
        <v>268</v>
      </c>
      <c r="F33" s="1104" t="s">
        <v>268</v>
      </c>
      <c r="G33" s="397"/>
      <c r="H33" s="1105"/>
      <c r="I33" s="1105"/>
      <c r="J33" s="1105"/>
      <c r="K33" s="1105"/>
      <c r="L33" s="1105"/>
      <c r="M33" s="1105"/>
      <c r="N33" s="1105"/>
      <c r="O33" s="1105">
        <v>1284</v>
      </c>
      <c r="P33" s="1105">
        <v>1695</v>
      </c>
      <c r="Q33" s="1106"/>
      <c r="R33" s="1106"/>
      <c r="S33" s="1106"/>
      <c r="T33" s="1105"/>
      <c r="U33" s="1087"/>
      <c r="V33" s="1087"/>
      <c r="W33" s="397"/>
    </row>
    <row r="34" spans="3:23" x14ac:dyDescent="0.35">
      <c r="C34" s="75" t="s">
        <v>880</v>
      </c>
      <c r="D34" s="2"/>
      <c r="E34" s="2" t="s">
        <v>268</v>
      </c>
      <c r="F34" s="26" t="s">
        <v>268</v>
      </c>
      <c r="H34" s="1105"/>
      <c r="I34" s="1105"/>
      <c r="J34" s="1105"/>
      <c r="K34" s="1105"/>
      <c r="L34" s="1105"/>
      <c r="M34" s="1105"/>
      <c r="N34" s="1105">
        <v>1551</v>
      </c>
      <c r="O34" s="1106"/>
      <c r="P34" s="1106"/>
      <c r="Q34" s="1106"/>
      <c r="R34" s="1106"/>
      <c r="S34" s="1106"/>
      <c r="T34" s="1105"/>
      <c r="U34" s="1087"/>
      <c r="V34" s="1087"/>
      <c r="W34" s="397"/>
    </row>
    <row r="35" spans="3:23" x14ac:dyDescent="0.35">
      <c r="C35" s="75" t="s">
        <v>881</v>
      </c>
      <c r="D35" s="2"/>
      <c r="E35" s="2" t="s">
        <v>268</v>
      </c>
      <c r="F35" s="26" t="s">
        <v>268</v>
      </c>
      <c r="H35" s="1105"/>
      <c r="I35" s="1105"/>
      <c r="J35" s="1105"/>
      <c r="K35" s="1105"/>
      <c r="L35" s="1105"/>
      <c r="M35" s="1105"/>
      <c r="N35" s="1105"/>
      <c r="O35" s="1106"/>
      <c r="P35" s="1106"/>
      <c r="Q35" s="705"/>
      <c r="R35" s="1105">
        <v>776</v>
      </c>
      <c r="S35" s="1105">
        <v>661</v>
      </c>
      <c r="T35" s="1105">
        <v>700</v>
      </c>
      <c r="U35" s="1087"/>
      <c r="V35" s="1087"/>
      <c r="W35" s="397"/>
    </row>
    <row r="36" spans="3:23" x14ac:dyDescent="0.35">
      <c r="C36" s="75" t="s">
        <v>882</v>
      </c>
      <c r="D36" s="2"/>
      <c r="E36" s="2" t="s">
        <v>268</v>
      </c>
      <c r="F36" s="26" t="s">
        <v>268</v>
      </c>
      <c r="H36" s="1105"/>
      <c r="I36" s="1105"/>
      <c r="J36" s="1105"/>
      <c r="K36" s="1105"/>
      <c r="L36" s="1105"/>
      <c r="M36" s="1105"/>
      <c r="N36" s="1105">
        <v>799</v>
      </c>
      <c r="O36" s="1105">
        <v>886</v>
      </c>
      <c r="P36" s="1105">
        <v>806</v>
      </c>
      <c r="Q36" s="1105">
        <v>720</v>
      </c>
      <c r="R36" s="1106"/>
      <c r="S36" s="1106"/>
      <c r="T36" s="1105"/>
      <c r="U36" s="1087"/>
      <c r="V36" s="1087"/>
      <c r="W36" s="397"/>
    </row>
    <row r="37" spans="3:23" x14ac:dyDescent="0.35">
      <c r="C37" s="1103" t="s">
        <v>883</v>
      </c>
      <c r="D37" s="1088"/>
      <c r="E37" s="1088" t="s">
        <v>268</v>
      </c>
      <c r="F37" s="1104" t="s">
        <v>268</v>
      </c>
      <c r="G37" s="397"/>
      <c r="H37" s="1105"/>
      <c r="I37" s="1105"/>
      <c r="J37" s="1105"/>
      <c r="K37" s="1105"/>
      <c r="L37" s="1105"/>
      <c r="M37" s="1105"/>
      <c r="N37" s="1105"/>
      <c r="O37" s="1105">
        <v>181</v>
      </c>
      <c r="P37" s="1105">
        <v>308</v>
      </c>
      <c r="Q37" s="1106"/>
      <c r="R37" s="1106"/>
      <c r="S37" s="1106"/>
      <c r="T37" s="1105"/>
      <c r="U37" s="1087"/>
      <c r="V37" s="1087"/>
      <c r="W37" s="397"/>
    </row>
    <row r="38" spans="3:23" x14ac:dyDescent="0.35">
      <c r="C38" s="75" t="s">
        <v>884</v>
      </c>
      <c r="D38" s="2"/>
      <c r="E38" s="2" t="s">
        <v>268</v>
      </c>
      <c r="F38" s="26" t="s">
        <v>268</v>
      </c>
      <c r="H38" s="1105"/>
      <c r="I38" s="1105"/>
      <c r="J38" s="1105"/>
      <c r="K38" s="1105"/>
      <c r="L38" s="1105"/>
      <c r="M38" s="1105"/>
      <c r="N38" s="1105"/>
      <c r="O38" s="1105"/>
      <c r="P38" s="1105"/>
      <c r="Q38" s="1105">
        <v>88</v>
      </c>
      <c r="R38" s="1105">
        <v>97</v>
      </c>
      <c r="S38" s="1105">
        <v>144</v>
      </c>
      <c r="T38" s="1105">
        <v>161</v>
      </c>
      <c r="U38" s="1087"/>
      <c r="V38" s="1087"/>
      <c r="W38" s="397"/>
    </row>
    <row r="39" spans="3:23" x14ac:dyDescent="0.35">
      <c r="C39" s="75" t="s">
        <v>560</v>
      </c>
      <c r="D39" s="2"/>
      <c r="E39" s="2" t="s">
        <v>268</v>
      </c>
      <c r="F39" s="26" t="s">
        <v>268</v>
      </c>
      <c r="H39" s="1109"/>
      <c r="I39" s="1109"/>
      <c r="J39" s="1109"/>
      <c r="K39" s="1109"/>
      <c r="L39" s="1109"/>
      <c r="M39" s="1109"/>
      <c r="N39" s="1109"/>
      <c r="O39" s="1109"/>
      <c r="P39" s="1109"/>
      <c r="Q39" s="1109">
        <v>53</v>
      </c>
      <c r="R39" s="1109">
        <v>37</v>
      </c>
      <c r="S39" s="1109">
        <v>20</v>
      </c>
      <c r="T39" s="1109">
        <v>43</v>
      </c>
      <c r="U39" s="1087"/>
      <c r="V39" s="1087"/>
      <c r="W39" s="397"/>
    </row>
    <row r="40" spans="3:23" x14ac:dyDescent="0.35">
      <c r="C40" s="77" t="s">
        <v>885</v>
      </c>
      <c r="D40" s="78"/>
      <c r="E40" s="78"/>
      <c r="F40" s="23"/>
      <c r="H40" s="1110"/>
      <c r="I40" s="1110">
        <f>SUM(I31,I32,I35)</f>
        <v>0</v>
      </c>
      <c r="J40" s="1110">
        <f>SUM(J31,J32,J35)</f>
        <v>0</v>
      </c>
      <c r="K40" s="1110">
        <f>SUM(K31,K32,K35)</f>
        <v>0</v>
      </c>
      <c r="L40" s="1110">
        <f>L30</f>
        <v>2227</v>
      </c>
      <c r="M40" s="1110">
        <f>M30</f>
        <v>2488</v>
      </c>
      <c r="N40" s="1110">
        <f>SUM(N34,N36)</f>
        <v>2350</v>
      </c>
      <c r="O40" s="1110">
        <f>SUM(O33,O36,O37)</f>
        <v>2351</v>
      </c>
      <c r="P40" s="1110">
        <f>SUM(P33,P36:P37)</f>
        <v>2809</v>
      </c>
      <c r="Q40" s="1110">
        <f>SUM(Q31,Q32,Q36,Q38:Q39)</f>
        <v>2246</v>
      </c>
      <c r="R40" s="1110">
        <f>SUM(R31,R32,R35,R38:R39)</f>
        <v>2942</v>
      </c>
      <c r="S40" s="1110">
        <f>SUM(S31,S32,S35,S38:S39)</f>
        <v>2838</v>
      </c>
      <c r="T40" s="1110">
        <f>SUM(T31,T32,T35,T38:T39)</f>
        <v>3371</v>
      </c>
      <c r="U40" s="1086"/>
      <c r="V40" s="1086"/>
      <c r="W40" s="397"/>
    </row>
    <row r="41" spans="3:23" x14ac:dyDescent="0.35">
      <c r="C41" s="16" t="s">
        <v>886</v>
      </c>
      <c r="D41" s="78"/>
      <c r="E41" s="78"/>
      <c r="F41" s="23" t="s">
        <v>887</v>
      </c>
      <c r="H41" s="1111"/>
      <c r="I41" s="1112"/>
      <c r="J41" s="1112"/>
      <c r="K41" s="1112"/>
      <c r="L41" s="1110">
        <v>324</v>
      </c>
      <c r="M41" s="1110">
        <v>385</v>
      </c>
      <c r="N41" s="1110">
        <v>418</v>
      </c>
      <c r="O41" s="1110">
        <v>435</v>
      </c>
      <c r="P41" s="1110">
        <v>465</v>
      </c>
      <c r="Q41" s="1110">
        <v>58</v>
      </c>
      <c r="R41" s="1110">
        <v>74</v>
      </c>
      <c r="S41" s="1110">
        <v>85</v>
      </c>
      <c r="T41" s="1110">
        <v>50</v>
      </c>
      <c r="U41" s="1087"/>
      <c r="V41" s="1087"/>
      <c r="W41" s="397"/>
    </row>
    <row r="42" spans="3:23" x14ac:dyDescent="0.35">
      <c r="C42" s="16" t="s">
        <v>888</v>
      </c>
      <c r="D42" s="39"/>
      <c r="E42" s="39"/>
      <c r="F42" s="23" t="s">
        <v>268</v>
      </c>
      <c r="H42" s="1111"/>
      <c r="I42" s="1112"/>
      <c r="J42" s="1112"/>
      <c r="K42" s="1112"/>
      <c r="L42" s="1112"/>
      <c r="M42" s="1112"/>
      <c r="N42" s="1112"/>
      <c r="O42" s="1112"/>
      <c r="P42" s="1112"/>
      <c r="Q42" s="1109">
        <v>241</v>
      </c>
      <c r="R42" s="1109">
        <v>246</v>
      </c>
      <c r="S42" s="1109">
        <v>0</v>
      </c>
      <c r="T42" s="1113"/>
      <c r="U42" s="1088"/>
      <c r="V42" s="1088"/>
      <c r="W42" s="397"/>
    </row>
    <row r="43" spans="3:23" x14ac:dyDescent="0.35">
      <c r="C43" s="16" t="s">
        <v>889</v>
      </c>
      <c r="D43" s="39"/>
      <c r="E43" s="39"/>
      <c r="F43" s="23" t="s">
        <v>439</v>
      </c>
      <c r="H43" s="1111"/>
      <c r="I43" s="1112"/>
      <c r="J43" s="1112"/>
      <c r="K43" s="1112"/>
      <c r="L43" s="1112"/>
      <c r="M43" s="1114">
        <v>3400</v>
      </c>
      <c r="N43" s="1114">
        <v>3600</v>
      </c>
      <c r="O43" s="1114">
        <v>3700</v>
      </c>
      <c r="P43" s="1114"/>
      <c r="Q43" s="1113"/>
      <c r="R43" s="1113"/>
      <c r="S43" s="1113"/>
      <c r="T43" s="1113"/>
      <c r="U43" s="1089"/>
      <c r="V43" s="1089"/>
      <c r="W43" s="397"/>
    </row>
    <row r="44" spans="3:23" x14ac:dyDescent="0.35">
      <c r="C44" s="16" t="s">
        <v>890</v>
      </c>
      <c r="D44" s="17"/>
      <c r="E44" s="17"/>
      <c r="F44" s="27" t="s">
        <v>268</v>
      </c>
      <c r="H44" s="1111"/>
      <c r="I44" s="1111"/>
      <c r="J44" s="1111"/>
      <c r="K44" s="1111"/>
      <c r="L44" s="1111"/>
      <c r="M44" s="1111">
        <f>M43*50%</f>
        <v>1700</v>
      </c>
      <c r="N44" s="1111">
        <f>N43*2/3</f>
        <v>2400</v>
      </c>
      <c r="O44" s="1111">
        <f>O43*60%</f>
        <v>2220</v>
      </c>
      <c r="P44" s="1112"/>
      <c r="Q44" s="1112"/>
      <c r="R44" s="1112"/>
      <c r="S44" s="1112"/>
      <c r="T44" s="1112"/>
      <c r="U44" s="1088"/>
      <c r="V44" s="1088"/>
      <c r="W44" s="397"/>
    </row>
    <row r="45" spans="3:23" x14ac:dyDescent="0.35">
      <c r="C45" s="2" t="s">
        <v>891</v>
      </c>
      <c r="D45" s="35"/>
      <c r="E45" s="35"/>
      <c r="F45" s="2"/>
      <c r="U45" s="397"/>
      <c r="V45" s="397"/>
      <c r="W45" s="397"/>
    </row>
    <row r="46" spans="3:23" x14ac:dyDescent="0.35">
      <c r="C46" s="2" t="s">
        <v>892</v>
      </c>
      <c r="D46" s="35"/>
      <c r="E46" s="35"/>
      <c r="F46" s="2"/>
    </row>
    <row r="47" spans="3:23" x14ac:dyDescent="0.35">
      <c r="C47" s="2" t="s">
        <v>893</v>
      </c>
      <c r="D47" s="35"/>
      <c r="E47" s="35"/>
      <c r="F47" s="2"/>
    </row>
    <row r="48" spans="3:23" x14ac:dyDescent="0.35">
      <c r="C48" s="2" t="s">
        <v>894</v>
      </c>
      <c r="D48" s="35"/>
      <c r="E48" s="35"/>
      <c r="F48" s="2"/>
    </row>
    <row r="49" spans="1:20" x14ac:dyDescent="0.35">
      <c r="C49" s="7"/>
    </row>
    <row r="50" spans="1:20" x14ac:dyDescent="0.35">
      <c r="C50" s="7"/>
    </row>
    <row r="51" spans="1:20" x14ac:dyDescent="0.35">
      <c r="A51" t="s">
        <v>895</v>
      </c>
      <c r="C51" s="35" t="s">
        <v>896</v>
      </c>
    </row>
    <row r="52" spans="1:20" x14ac:dyDescent="0.35">
      <c r="C52" s="18"/>
      <c r="D52" s="19"/>
      <c r="E52" s="19" t="s">
        <v>431</v>
      </c>
      <c r="F52" s="24" t="s">
        <v>432</v>
      </c>
      <c r="H52" s="179">
        <v>2011</v>
      </c>
      <c r="I52" s="180">
        <v>2012</v>
      </c>
      <c r="J52" s="180">
        <v>2013</v>
      </c>
      <c r="K52" s="180">
        <v>2014</v>
      </c>
      <c r="L52" s="180">
        <v>2015</v>
      </c>
      <c r="M52" s="180">
        <v>2016</v>
      </c>
      <c r="N52" s="12">
        <v>2017</v>
      </c>
      <c r="O52" s="12">
        <v>2018</v>
      </c>
      <c r="P52" s="12">
        <v>2019</v>
      </c>
      <c r="Q52" s="12">
        <v>2020</v>
      </c>
      <c r="R52" s="12">
        <v>2021</v>
      </c>
      <c r="S52" s="12">
        <v>2022</v>
      </c>
      <c r="T52" s="13">
        <v>2023</v>
      </c>
    </row>
    <row r="53" spans="1:20" x14ac:dyDescent="0.35">
      <c r="C53" s="1081" t="s">
        <v>897</v>
      </c>
      <c r="D53" s="1082"/>
      <c r="E53" s="1082" t="s">
        <v>876</v>
      </c>
      <c r="F53" s="1083" t="s">
        <v>439</v>
      </c>
      <c r="H53" s="1084"/>
      <c r="I53" s="1085">
        <v>3296.0989790808771</v>
      </c>
      <c r="J53" s="1085">
        <v>2675.6140730082138</v>
      </c>
      <c r="K53" s="1085">
        <v>3389.4656251555712</v>
      </c>
      <c r="L53" s="1085">
        <v>2551</v>
      </c>
      <c r="M53" s="1085">
        <v>2873</v>
      </c>
      <c r="N53" s="1085">
        <v>2768</v>
      </c>
      <c r="O53" s="1085">
        <v>2786</v>
      </c>
      <c r="P53" s="1085">
        <v>3274</v>
      </c>
      <c r="Q53" s="1085">
        <v>2404</v>
      </c>
      <c r="R53" s="1085">
        <v>3128</v>
      </c>
      <c r="S53" s="1085">
        <v>2759</v>
      </c>
      <c r="T53" s="1059">
        <v>3217</v>
      </c>
    </row>
    <row r="54" spans="1:20" x14ac:dyDescent="0.35">
      <c r="C54" s="1072" t="s">
        <v>898</v>
      </c>
      <c r="D54" s="263"/>
      <c r="E54" s="263" t="s">
        <v>268</v>
      </c>
      <c r="F54" s="1076" t="s">
        <v>887</v>
      </c>
      <c r="H54" s="1014"/>
      <c r="I54" s="715">
        <v>943.69638820157888</v>
      </c>
      <c r="J54" s="715">
        <v>766.04718272849266</v>
      </c>
      <c r="K54" s="715">
        <v>564.91093752592849</v>
      </c>
      <c r="L54" s="715">
        <v>125.9753086419753</v>
      </c>
      <c r="M54" s="715">
        <v>197.32142857142858</v>
      </c>
      <c r="N54" s="715">
        <v>133.50482315112541</v>
      </c>
      <c r="O54" s="715">
        <v>302.82608695652175</v>
      </c>
      <c r="P54" s="715">
        <v>259.32673267326732</v>
      </c>
      <c r="Q54" s="715">
        <v>210.87719298245614</v>
      </c>
      <c r="R54" s="715">
        <v>153.8360655737705</v>
      </c>
      <c r="S54" s="715">
        <v>182.99489795918367</v>
      </c>
      <c r="T54" s="212">
        <v>0</v>
      </c>
    </row>
    <row r="55" spans="1:20" x14ac:dyDescent="0.35">
      <c r="C55" s="1073" t="s">
        <v>899</v>
      </c>
      <c r="D55" s="264"/>
      <c r="E55" s="264" t="s">
        <v>268</v>
      </c>
      <c r="F55" s="1077" t="s">
        <v>268</v>
      </c>
      <c r="H55" s="1014"/>
      <c r="I55" s="715">
        <v>2352.4025908792983</v>
      </c>
      <c r="J55" s="715">
        <v>1909.5668902797211</v>
      </c>
      <c r="K55" s="715">
        <v>2824.5546876296426</v>
      </c>
      <c r="L55" s="715">
        <v>2425.0246913580249</v>
      </c>
      <c r="M55" s="715">
        <v>2675.6785714285716</v>
      </c>
      <c r="N55" s="715">
        <v>2634.4951768488745</v>
      </c>
      <c r="O55" s="715">
        <v>2483.1739130434785</v>
      </c>
      <c r="P55" s="715">
        <v>3014.6732673267329</v>
      </c>
      <c r="Q55" s="715">
        <v>2193.1228070175439</v>
      </c>
      <c r="R55" s="715">
        <v>2974.1639344262294</v>
      </c>
      <c r="S55" s="715">
        <v>2576.0051020408168</v>
      </c>
      <c r="T55" s="212">
        <v>3217.0000000000009</v>
      </c>
    </row>
    <row r="56" spans="1:20" x14ac:dyDescent="0.35">
      <c r="C56" s="1074" t="s">
        <v>900</v>
      </c>
      <c r="D56" s="262"/>
      <c r="E56" s="262" t="s">
        <v>268</v>
      </c>
      <c r="F56" s="1078" t="s">
        <v>901</v>
      </c>
      <c r="H56" s="1084"/>
      <c r="I56" s="1085">
        <v>1020.4292612176893</v>
      </c>
      <c r="J56" s="1085">
        <v>828.33522571727076</v>
      </c>
      <c r="K56" s="1085">
        <v>1049.3343572967337</v>
      </c>
      <c r="L56" s="1085">
        <v>805.48910441221767</v>
      </c>
      <c r="M56" s="1085">
        <v>899.89083600251354</v>
      </c>
      <c r="N56" s="1085">
        <v>849.97727677086289</v>
      </c>
      <c r="O56" s="1085">
        <v>802.84765342960293</v>
      </c>
      <c r="P56" s="1085">
        <v>1059.8339350180506</v>
      </c>
      <c r="Q56" s="1085">
        <v>866</v>
      </c>
      <c r="R56" s="1085">
        <v>1382</v>
      </c>
      <c r="S56" s="1085">
        <v>1092</v>
      </c>
      <c r="T56" s="1059">
        <v>1209</v>
      </c>
    </row>
    <row r="57" spans="1:20" x14ac:dyDescent="0.35">
      <c r="C57" s="89" t="s">
        <v>898</v>
      </c>
      <c r="D57" s="1075"/>
      <c r="E57" s="1075" t="s">
        <v>268</v>
      </c>
      <c r="F57" s="1079" t="s">
        <v>268</v>
      </c>
      <c r="H57" s="1014"/>
      <c r="I57" s="715">
        <v>943.69638820157888</v>
      </c>
      <c r="J57" s="715">
        <v>766.04718272849266</v>
      </c>
      <c r="K57" s="715">
        <v>564.91093752592849</v>
      </c>
      <c r="L57" s="715">
        <v>125.9753086419753</v>
      </c>
      <c r="M57" s="715">
        <v>197.32142857142858</v>
      </c>
      <c r="N57" s="715">
        <v>133.50482315112541</v>
      </c>
      <c r="O57" s="715">
        <v>302.82608695652175</v>
      </c>
      <c r="P57" s="715">
        <v>259.32673267326732</v>
      </c>
      <c r="Q57" s="715">
        <v>210.87719298245614</v>
      </c>
      <c r="R57" s="715">
        <v>153.8360655737705</v>
      </c>
      <c r="S57" s="715">
        <v>182.99489795918367</v>
      </c>
      <c r="T57" s="212">
        <v>0</v>
      </c>
    </row>
    <row r="58" spans="1:20" x14ac:dyDescent="0.35">
      <c r="C58" s="91" t="s">
        <v>902</v>
      </c>
      <c r="D58" s="265"/>
      <c r="E58" s="265" t="s">
        <v>268</v>
      </c>
      <c r="F58" s="1080" t="s">
        <v>268</v>
      </c>
      <c r="H58" s="716"/>
      <c r="I58" s="213">
        <v>2275.669717863188</v>
      </c>
      <c r="J58" s="213">
        <v>1081.2316645624503</v>
      </c>
      <c r="K58" s="213">
        <v>1775.2203303329088</v>
      </c>
      <c r="L58" s="213">
        <v>1619.5355869458072</v>
      </c>
      <c r="M58" s="213">
        <v>1775.7877354260581</v>
      </c>
      <c r="N58" s="213">
        <v>1784.5179000780117</v>
      </c>
      <c r="O58" s="213">
        <v>1680.3262596138757</v>
      </c>
      <c r="P58" s="213">
        <v>1954.8393323086823</v>
      </c>
      <c r="Q58" s="213">
        <v>1327.1228070175439</v>
      </c>
      <c r="R58" s="213">
        <v>1592.1639344262294</v>
      </c>
      <c r="S58" s="213">
        <v>1484.0051020408168</v>
      </c>
      <c r="T58" s="214">
        <v>2008.0000000000009</v>
      </c>
    </row>
    <row r="59" spans="1:20" x14ac:dyDescent="0.35">
      <c r="C59" s="7"/>
    </row>
    <row r="61" spans="1:20" x14ac:dyDescent="0.35">
      <c r="C61" s="135" t="s">
        <v>903</v>
      </c>
      <c r="H61" s="763"/>
      <c r="I61" s="763"/>
      <c r="J61" s="763"/>
      <c r="K61" s="763"/>
      <c r="L61" s="763"/>
      <c r="M61" s="763"/>
      <c r="N61" s="541"/>
      <c r="O61" s="541"/>
      <c r="P61" s="541"/>
      <c r="Q61" s="541"/>
      <c r="R61" s="541"/>
      <c r="S61" s="541"/>
      <c r="T61" s="541"/>
    </row>
    <row r="62" spans="1:20" x14ac:dyDescent="0.35">
      <c r="C62" s="16"/>
      <c r="D62" s="17"/>
      <c r="E62" s="17" t="s">
        <v>431</v>
      </c>
      <c r="F62" s="23" t="s">
        <v>432</v>
      </c>
      <c r="H62" s="179">
        <v>2011</v>
      </c>
      <c r="I62" s="180">
        <v>2012</v>
      </c>
      <c r="J62" s="180">
        <v>2013</v>
      </c>
      <c r="K62" s="180">
        <v>2014</v>
      </c>
      <c r="L62" s="180">
        <v>2015</v>
      </c>
      <c r="M62" s="180">
        <v>2016</v>
      </c>
      <c r="N62" s="12">
        <v>2017</v>
      </c>
      <c r="O62" s="12">
        <v>2018</v>
      </c>
      <c r="P62" s="12">
        <v>2019</v>
      </c>
      <c r="Q62" s="12">
        <v>2020</v>
      </c>
      <c r="R62" s="12">
        <v>2021</v>
      </c>
      <c r="S62" s="12">
        <v>2022</v>
      </c>
      <c r="T62" s="13">
        <v>2023</v>
      </c>
    </row>
    <row r="63" spans="1:20" x14ac:dyDescent="0.35">
      <c r="C63" s="1066" t="s">
        <v>904</v>
      </c>
      <c r="E63" t="s">
        <v>905</v>
      </c>
      <c r="F63" s="31"/>
      <c r="H63" s="1100">
        <v>114.60999999999999</v>
      </c>
      <c r="I63" s="1101">
        <v>192</v>
      </c>
      <c r="J63" s="1101">
        <v>94</v>
      </c>
      <c r="K63" s="1101">
        <v>202</v>
      </c>
      <c r="L63" s="1101">
        <v>249.20000000000005</v>
      </c>
      <c r="M63" s="1101">
        <v>456.04466796000003</v>
      </c>
      <c r="N63" s="1101">
        <v>410.90977511000006</v>
      </c>
      <c r="O63" s="1101">
        <v>329.44942568999988</v>
      </c>
      <c r="P63" s="1101">
        <v>625.61693683999988</v>
      </c>
      <c r="Q63" s="1101">
        <v>260.34076391999986</v>
      </c>
      <c r="R63" s="1101">
        <v>161.89848962999986</v>
      </c>
      <c r="S63" s="1101">
        <v>13.364536680000356</v>
      </c>
      <c r="T63" s="1102">
        <v>289.08645925000042</v>
      </c>
    </row>
    <row r="64" spans="1:20" x14ac:dyDescent="0.35">
      <c r="C64" s="1066" t="s">
        <v>906</v>
      </c>
      <c r="F64" s="31"/>
      <c r="H64" s="1100">
        <v>294</v>
      </c>
      <c r="I64" s="1101">
        <v>329</v>
      </c>
      <c r="J64" s="1101">
        <v>564</v>
      </c>
      <c r="K64" s="1101">
        <v>634</v>
      </c>
      <c r="L64" s="1101">
        <v>622.79999999999995</v>
      </c>
      <c r="M64" s="1101">
        <v>549.29999999999995</v>
      </c>
      <c r="N64" s="1101">
        <v>357.4</v>
      </c>
      <c r="O64" s="1101">
        <v>414.8</v>
      </c>
      <c r="P64" s="1101">
        <v>448.2</v>
      </c>
      <c r="Q64" s="1101">
        <v>755.64043600000002</v>
      </c>
      <c r="R64" s="1101">
        <v>808.14</v>
      </c>
      <c r="S64" s="1101">
        <v>816.52511000000004</v>
      </c>
      <c r="T64" s="1102">
        <v>742.14453400000002</v>
      </c>
    </row>
    <row r="65" spans="1:20" x14ac:dyDescent="0.35">
      <c r="C65" s="1066" t="s">
        <v>907</v>
      </c>
      <c r="F65" s="31"/>
      <c r="H65" s="1060">
        <v>138.38999999999999</v>
      </c>
      <c r="I65" s="1061">
        <v>168</v>
      </c>
      <c r="J65" s="1061">
        <v>261</v>
      </c>
      <c r="K65" s="1061">
        <v>266</v>
      </c>
      <c r="L65" s="1061">
        <v>430</v>
      </c>
      <c r="M65" s="1061">
        <v>481.65533204000002</v>
      </c>
      <c r="N65" s="1061">
        <v>547.69022488999997</v>
      </c>
      <c r="O65" s="1061">
        <v>779.75057431000016</v>
      </c>
      <c r="P65" s="1061">
        <v>887.18306316000007</v>
      </c>
      <c r="Q65" s="1061">
        <v>975.01880008000001</v>
      </c>
      <c r="R65" s="1061">
        <v>1485.6250818500002</v>
      </c>
      <c r="S65" s="1061">
        <v>1114.1510267999997</v>
      </c>
      <c r="T65" s="1062">
        <v>1201.0299566299998</v>
      </c>
    </row>
    <row r="66" spans="1:20" x14ac:dyDescent="0.35">
      <c r="C66" s="1067" t="s">
        <v>908</v>
      </c>
      <c r="F66" s="31"/>
      <c r="H66" s="1060">
        <v>493.9</v>
      </c>
      <c r="I66" s="1061">
        <v>596.80000000000007</v>
      </c>
      <c r="J66" s="1061">
        <v>636.43856900000003</v>
      </c>
      <c r="K66" s="1061">
        <v>622.58150846000001</v>
      </c>
      <c r="L66" s="1061">
        <v>875.30000000000007</v>
      </c>
      <c r="M66" s="1061">
        <v>811.19114499</v>
      </c>
      <c r="N66" s="1061">
        <v>681</v>
      </c>
      <c r="O66" s="1061">
        <v>675</v>
      </c>
      <c r="P66" s="1061">
        <v>757</v>
      </c>
      <c r="Q66" s="1061">
        <v>875</v>
      </c>
      <c r="R66" s="1061">
        <v>1117.7290574372419</v>
      </c>
      <c r="S66" s="1061">
        <v>1024.4234412503533</v>
      </c>
      <c r="T66" s="1062">
        <v>1183.5105341624055</v>
      </c>
    </row>
    <row r="67" spans="1:20" x14ac:dyDescent="0.35">
      <c r="C67" s="1068" t="s">
        <v>909</v>
      </c>
      <c r="D67" s="100"/>
      <c r="E67" s="100"/>
      <c r="F67" s="33"/>
      <c r="H67" s="1063"/>
      <c r="I67" s="1064"/>
      <c r="J67" s="1064"/>
      <c r="K67" s="1064"/>
      <c r="L67" s="1064"/>
      <c r="M67" s="1064"/>
      <c r="N67" s="1064"/>
      <c r="O67" s="1064">
        <v>193.928</v>
      </c>
      <c r="P67" s="1064">
        <v>256.74099999999999</v>
      </c>
      <c r="Q67" s="1064">
        <v>200.55199999999999</v>
      </c>
      <c r="R67" s="1064">
        <v>203.25400000000002</v>
      </c>
      <c r="S67" s="1064">
        <v>201.53799999999998</v>
      </c>
      <c r="T67" s="1065">
        <v>201.53799999999998</v>
      </c>
    </row>
    <row r="68" spans="1:20" x14ac:dyDescent="0.35">
      <c r="A68" s="1071" t="s">
        <v>459</v>
      </c>
      <c r="C68" s="1069" t="s">
        <v>910</v>
      </c>
      <c r="D68" s="63"/>
      <c r="E68" s="63"/>
      <c r="F68" s="64"/>
      <c r="H68" s="1070">
        <f>H64+H65</f>
        <v>432.39</v>
      </c>
      <c r="I68" s="1054">
        <f t="shared" ref="I68:T68" si="0">I64+I65</f>
        <v>497</v>
      </c>
      <c r="J68" s="1054">
        <f t="shared" si="0"/>
        <v>825</v>
      </c>
      <c r="K68" s="1054">
        <f t="shared" si="0"/>
        <v>900</v>
      </c>
      <c r="L68" s="1054">
        <f t="shared" si="0"/>
        <v>1052.8</v>
      </c>
      <c r="M68" s="1054">
        <f t="shared" si="0"/>
        <v>1030.95533204</v>
      </c>
      <c r="N68" s="1054">
        <f t="shared" si="0"/>
        <v>905.09022488999994</v>
      </c>
      <c r="O68" s="1054">
        <f t="shared" si="0"/>
        <v>1194.5505743100002</v>
      </c>
      <c r="P68" s="1054">
        <f t="shared" si="0"/>
        <v>1335.3830631600001</v>
      </c>
      <c r="Q68" s="1054">
        <f t="shared" si="0"/>
        <v>1730.65923608</v>
      </c>
      <c r="R68" s="1054">
        <f t="shared" si="0"/>
        <v>2293.7650818500001</v>
      </c>
      <c r="S68" s="1054">
        <f t="shared" si="0"/>
        <v>1930.6761367999998</v>
      </c>
      <c r="T68" s="1055">
        <f t="shared" si="0"/>
        <v>1943.1744906299998</v>
      </c>
    </row>
    <row r="69" spans="1:20" x14ac:dyDescent="0.35">
      <c r="C69" s="1069" t="s">
        <v>911</v>
      </c>
      <c r="D69" s="63"/>
      <c r="E69" s="63"/>
      <c r="F69" s="64"/>
      <c r="H69" s="1094" t="e">
        <f>H68/H53</f>
        <v>#DIV/0!</v>
      </c>
      <c r="I69" s="1048">
        <f>I68/I53</f>
        <v>0.15078430688953076</v>
      </c>
      <c r="J69" s="1048">
        <f t="shared" ref="J69:S69" si="1">J68/J53</f>
        <v>0.30834043232268027</v>
      </c>
      <c r="K69" s="1048">
        <f t="shared" si="1"/>
        <v>0.26552858165029819</v>
      </c>
      <c r="L69" s="1048">
        <f t="shared" si="1"/>
        <v>0.41270090160721284</v>
      </c>
      <c r="M69" s="1048">
        <f t="shared" si="1"/>
        <v>0.35884278873651237</v>
      </c>
      <c r="N69" s="1048">
        <f t="shared" si="1"/>
        <v>0.32698346274927742</v>
      </c>
      <c r="O69" s="1048">
        <f>O68/O53</f>
        <v>0.42876905036252699</v>
      </c>
      <c r="P69" s="1048">
        <f t="shared" si="1"/>
        <v>0.40787509565058039</v>
      </c>
      <c r="Q69" s="1048">
        <f t="shared" si="1"/>
        <v>0.71990816808652247</v>
      </c>
      <c r="R69" s="1048">
        <f t="shared" si="1"/>
        <v>0.73330085736892592</v>
      </c>
      <c r="S69" s="1048">
        <f t="shared" si="1"/>
        <v>0.69977388068140622</v>
      </c>
      <c r="T69" s="1049">
        <f>T68/T53</f>
        <v>0.6040331024650295</v>
      </c>
    </row>
    <row r="71" spans="1:20" x14ac:dyDescent="0.35">
      <c r="C71" s="1090" t="s">
        <v>912</v>
      </c>
    </row>
    <row r="73" spans="1:20" x14ac:dyDescent="0.35">
      <c r="C73" s="15" t="s">
        <v>913</v>
      </c>
    </row>
    <row r="74" spans="1:20" x14ac:dyDescent="0.35">
      <c r="C74" s="1090"/>
    </row>
    <row r="75" spans="1:20" x14ac:dyDescent="0.35">
      <c r="A75" t="s">
        <v>914</v>
      </c>
      <c r="C75" s="1091" t="s">
        <v>915</v>
      </c>
    </row>
    <row r="76" spans="1:20" x14ac:dyDescent="0.35">
      <c r="C76" s="1092"/>
    </row>
    <row r="77" spans="1:20" x14ac:dyDescent="0.35">
      <c r="C77" s="1092" t="s">
        <v>916</v>
      </c>
    </row>
    <row r="78" spans="1:20" x14ac:dyDescent="0.35">
      <c r="C78" s="1092"/>
    </row>
    <row r="79" spans="1:20" x14ac:dyDescent="0.35">
      <c r="C79" s="1092" t="s">
        <v>917</v>
      </c>
    </row>
    <row r="80" spans="1:20" x14ac:dyDescent="0.35">
      <c r="C80" s="1092" t="s">
        <v>918</v>
      </c>
    </row>
    <row r="81" spans="3:20" x14ac:dyDescent="0.35">
      <c r="C81" s="1092"/>
    </row>
    <row r="82" spans="3:20" x14ac:dyDescent="0.35">
      <c r="C82" s="1115" t="s">
        <v>919</v>
      </c>
    </row>
    <row r="84" spans="3:20" x14ac:dyDescent="0.35">
      <c r="C84" s="1099" t="s">
        <v>920</v>
      </c>
      <c r="H84" s="179">
        <v>2011</v>
      </c>
      <c r="I84" s="180">
        <v>2012</v>
      </c>
      <c r="J84" s="180">
        <v>2013</v>
      </c>
      <c r="K84" s="180">
        <v>2014</v>
      </c>
      <c r="L84" s="180">
        <v>2015</v>
      </c>
      <c r="M84" s="180">
        <v>2016</v>
      </c>
      <c r="N84" s="12">
        <v>2017</v>
      </c>
      <c r="O84" s="12">
        <v>2018</v>
      </c>
      <c r="P84" s="12">
        <v>2019</v>
      </c>
      <c r="Q84" s="12">
        <v>2020</v>
      </c>
      <c r="R84" s="12">
        <v>2021</v>
      </c>
      <c r="S84" s="12">
        <v>2022</v>
      </c>
      <c r="T84" s="13">
        <v>2023</v>
      </c>
    </row>
    <row r="85" spans="3:20" x14ac:dyDescent="0.35">
      <c r="C85" s="1098" t="s">
        <v>920</v>
      </c>
      <c r="D85" s="73"/>
      <c r="E85" s="73"/>
      <c r="F85" s="29" t="s">
        <v>331</v>
      </c>
      <c r="H85" s="65">
        <f>H64/H68</f>
        <v>0.6799417192812045</v>
      </c>
      <c r="I85" s="63">
        <f t="shared" ref="I85:T85" si="2">I64/I68</f>
        <v>0.6619718309859155</v>
      </c>
      <c r="J85" s="63">
        <f t="shared" si="2"/>
        <v>0.6836363636363636</v>
      </c>
      <c r="K85" s="63">
        <f t="shared" si="2"/>
        <v>0.70444444444444443</v>
      </c>
      <c r="L85" s="63">
        <f>L64/L68</f>
        <v>0.59156534954407292</v>
      </c>
      <c r="M85" s="63">
        <f t="shared" si="2"/>
        <v>0.53280678893534028</v>
      </c>
      <c r="N85" s="63">
        <f t="shared" si="2"/>
        <v>0.39487775933436531</v>
      </c>
      <c r="O85" s="63">
        <f t="shared" si="2"/>
        <v>0.34724356500317954</v>
      </c>
      <c r="P85" s="63">
        <f t="shared" si="2"/>
        <v>0.33563403068734182</v>
      </c>
      <c r="Q85" s="63">
        <f t="shared" si="2"/>
        <v>0.43662000019804614</v>
      </c>
      <c r="R85" s="63">
        <f t="shared" si="2"/>
        <v>0.35232029922968722</v>
      </c>
      <c r="S85" s="63">
        <f t="shared" si="2"/>
        <v>0.4229218429940042</v>
      </c>
      <c r="T85" s="64">
        <f t="shared" si="2"/>
        <v>0.38192377348438128</v>
      </c>
    </row>
    <row r="86" spans="3:20" x14ac:dyDescent="0.35">
      <c r="C86" s="481" t="s">
        <v>921</v>
      </c>
      <c r="D86" s="100"/>
      <c r="E86" s="100"/>
      <c r="F86" s="33" t="s">
        <v>922</v>
      </c>
      <c r="H86" s="252">
        <f>AVERAGE(H85:T85)</f>
        <v>0.50199290521218043</v>
      </c>
    </row>
    <row r="88" spans="3:20" x14ac:dyDescent="0.35">
      <c r="C88" s="245" t="s">
        <v>923</v>
      </c>
    </row>
    <row r="90" spans="3:20" x14ac:dyDescent="0.35">
      <c r="C90" s="15" t="s">
        <v>924</v>
      </c>
      <c r="H90" s="343">
        <v>2018</v>
      </c>
      <c r="I90" s="13">
        <v>2019</v>
      </c>
    </row>
    <row r="91" spans="3:20" x14ac:dyDescent="0.35">
      <c r="C91" s="65" t="s">
        <v>925</v>
      </c>
      <c r="D91" s="63"/>
      <c r="E91" s="63"/>
      <c r="F91" s="64" t="s">
        <v>334</v>
      </c>
      <c r="H91" s="65">
        <f>O33*O85</f>
        <v>445.86073746408255</v>
      </c>
      <c r="I91" s="64">
        <f>P33*P85</f>
        <v>568.89968201504439</v>
      </c>
    </row>
    <row r="94" spans="3:20" x14ac:dyDescent="0.35">
      <c r="C94" s="267" t="s">
        <v>926</v>
      </c>
    </row>
    <row r="95" spans="3:20" x14ac:dyDescent="0.35">
      <c r="C95" s="1092"/>
    </row>
    <row r="96" spans="3:20" x14ac:dyDescent="0.35">
      <c r="C96" s="15" t="s">
        <v>927</v>
      </c>
      <c r="H96" s="343">
        <v>2018</v>
      </c>
      <c r="I96" s="13">
        <v>2019</v>
      </c>
      <c r="J96" s="1096" t="s">
        <v>928</v>
      </c>
    </row>
    <row r="97" spans="1:20" x14ac:dyDescent="0.35">
      <c r="C97" s="72" t="s">
        <v>929</v>
      </c>
      <c r="D97" s="73"/>
      <c r="E97" s="73"/>
      <c r="F97" s="29" t="s">
        <v>331</v>
      </c>
      <c r="H97" s="1093">
        <f>H91/(H91+O37)</f>
        <v>0.71125963203211329</v>
      </c>
      <c r="I97" s="1093">
        <f>I91/(I91+P37)</f>
        <v>0.64876255937025662</v>
      </c>
      <c r="J97" s="1095">
        <f>AVERAGE(H97:I97)</f>
        <v>0.6800110957011849</v>
      </c>
    </row>
    <row r="98" spans="1:20" x14ac:dyDescent="0.35">
      <c r="C98" s="99" t="s">
        <v>930</v>
      </c>
      <c r="D98" s="100"/>
      <c r="E98" s="100"/>
      <c r="F98" s="33" t="s">
        <v>922</v>
      </c>
      <c r="H98" s="535">
        <f>O37/(H91+O37)</f>
        <v>0.28874036796788666</v>
      </c>
      <c r="I98" s="535">
        <f>P37/(I91+P37)</f>
        <v>0.35123744062974338</v>
      </c>
      <c r="J98" s="1097">
        <f>AVERAGE(H98:I98)</f>
        <v>0.31998890429881499</v>
      </c>
    </row>
    <row r="100" spans="1:20" x14ac:dyDescent="0.35">
      <c r="C100" s="267" t="s">
        <v>931</v>
      </c>
    </row>
    <row r="101" spans="1:20" x14ac:dyDescent="0.35">
      <c r="C101" t="s">
        <v>932</v>
      </c>
    </row>
    <row r="102" spans="1:20" x14ac:dyDescent="0.35">
      <c r="C102" t="s">
        <v>933</v>
      </c>
    </row>
    <row r="104" spans="1:20" x14ac:dyDescent="0.35">
      <c r="C104" s="15" t="s">
        <v>934</v>
      </c>
      <c r="H104" s="179">
        <v>2011</v>
      </c>
      <c r="I104" s="180">
        <v>2012</v>
      </c>
      <c r="J104" s="180">
        <v>2013</v>
      </c>
      <c r="K104" s="180">
        <v>2014</v>
      </c>
      <c r="L104" s="180">
        <v>2015</v>
      </c>
      <c r="M104" s="180">
        <v>2016</v>
      </c>
      <c r="N104" s="12">
        <v>2017</v>
      </c>
      <c r="O104" s="12">
        <v>2018</v>
      </c>
      <c r="P104" s="12">
        <v>2019</v>
      </c>
      <c r="Q104" s="12">
        <v>2020</v>
      </c>
      <c r="R104" s="12">
        <v>2021</v>
      </c>
      <c r="S104" s="12">
        <v>2022</v>
      </c>
      <c r="T104" s="13">
        <v>2023</v>
      </c>
    </row>
    <row r="105" spans="1:20" x14ac:dyDescent="0.35">
      <c r="C105" s="72" t="s">
        <v>935</v>
      </c>
      <c r="D105" s="73"/>
      <c r="E105" s="73"/>
      <c r="F105" s="29" t="s">
        <v>334</v>
      </c>
      <c r="H105" s="72"/>
      <c r="I105" s="73">
        <f t="shared" ref="I105:T105" si="3">I57*$J$97</f>
        <v>641.72401495020642</v>
      </c>
      <c r="J105" s="73">
        <f t="shared" si="3"/>
        <v>520.92058408600815</v>
      </c>
      <c r="K105" s="73">
        <f t="shared" si="3"/>
        <v>384.14570560059025</v>
      </c>
      <c r="L105" s="73">
        <f t="shared" si="3"/>
        <v>85.664607660924574</v>
      </c>
      <c r="M105" s="73">
        <f t="shared" si="3"/>
        <v>134.18076084818026</v>
      </c>
      <c r="N105" s="73">
        <f t="shared" si="3"/>
        <v>90.784761072389699</v>
      </c>
      <c r="O105" s="73">
        <f t="shared" si="3"/>
        <v>205.92509919820665</v>
      </c>
      <c r="P105" s="73">
        <f t="shared" si="3"/>
        <v>176.34505562975679</v>
      </c>
      <c r="Q105" s="73">
        <f t="shared" si="3"/>
        <v>143.39883105839021</v>
      </c>
      <c r="R105" s="73">
        <f t="shared" si="3"/>
        <v>104.610231509179</v>
      </c>
      <c r="S105" s="73">
        <f>S57*$J$97</f>
        <v>124.43856106895102</v>
      </c>
      <c r="T105" s="29">
        <f t="shared" si="3"/>
        <v>0</v>
      </c>
    </row>
    <row r="106" spans="1:20" x14ac:dyDescent="0.35">
      <c r="A106" s="984" t="s">
        <v>792</v>
      </c>
      <c r="C106" s="99" t="s">
        <v>936</v>
      </c>
      <c r="D106" s="100"/>
      <c r="E106" s="100"/>
      <c r="F106" s="33" t="s">
        <v>268</v>
      </c>
      <c r="H106" s="99"/>
      <c r="I106" s="100">
        <f t="shared" ref="I106:T106" si="4">I105*I69</f>
        <v>96.761910808633758</v>
      </c>
      <c r="J106" s="100">
        <f t="shared" si="4"/>
        <v>160.62087810286286</v>
      </c>
      <c r="K106" s="100">
        <f t="shared" si="4"/>
        <v>102.00166435517774</v>
      </c>
      <c r="L106" s="100">
        <f t="shared" si="4"/>
        <v>35.353860817491721</v>
      </c>
      <c r="M106" s="100">
        <f t="shared" si="4"/>
        <v>48.149798417548041</v>
      </c>
      <c r="N106" s="100">
        <f t="shared" si="4"/>
        <v>29.685115540315788</v>
      </c>
      <c r="O106" s="100">
        <f t="shared" si="4"/>
        <v>88.294309229024236</v>
      </c>
      <c r="P106" s="100">
        <f t="shared" si="4"/>
        <v>71.926756432493974</v>
      </c>
      <c r="Q106" s="100">
        <f t="shared" si="4"/>
        <v>103.23398977299442</v>
      </c>
      <c r="R106" s="100">
        <f t="shared" si="4"/>
        <v>76.71077245524279</v>
      </c>
      <c r="S106" s="100">
        <f>S105*S69</f>
        <v>87.078854785630014</v>
      </c>
      <c r="T106" s="33">
        <f t="shared" si="4"/>
        <v>0</v>
      </c>
    </row>
    <row r="108" spans="1:20" x14ac:dyDescent="0.35">
      <c r="C108" s="15" t="s">
        <v>937</v>
      </c>
      <c r="H108" s="83"/>
      <c r="I108" s="83"/>
      <c r="J108" s="83"/>
      <c r="K108" s="83"/>
      <c r="L108" s="83"/>
      <c r="M108" s="83"/>
      <c r="N108" s="178"/>
      <c r="O108" s="178"/>
      <c r="P108" s="178"/>
      <c r="Q108" s="178"/>
      <c r="R108" s="178"/>
      <c r="S108" s="178"/>
      <c r="T108" s="178"/>
    </row>
    <row r="109" spans="1:20" x14ac:dyDescent="0.35">
      <c r="C109" s="260" t="s">
        <v>938</v>
      </c>
      <c r="D109" s="73"/>
      <c r="E109" s="73" t="s">
        <v>939</v>
      </c>
      <c r="F109" s="29"/>
      <c r="H109" s="1306">
        <f>AVERAGE(N106:T106)</f>
        <v>65.275685459385883</v>
      </c>
    </row>
    <row r="110" spans="1:20" x14ac:dyDescent="0.35">
      <c r="C110" s="14" t="s">
        <v>940</v>
      </c>
      <c r="F110" s="31"/>
      <c r="H110" s="1307">
        <f>AVERAGE(I106:N106)</f>
        <v>78.762204673671647</v>
      </c>
    </row>
    <row r="111" spans="1:20" x14ac:dyDescent="0.35">
      <c r="C111" s="20" t="s">
        <v>941</v>
      </c>
      <c r="D111" s="100"/>
      <c r="E111" s="100"/>
      <c r="F111" s="33"/>
      <c r="H111" s="1308">
        <f>AVERAGE(I106:T106)</f>
        <v>74.984825893117943</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DBD5-0D0D-4648-8BD8-DB766B3C4F1E}">
  <dimension ref="A1:AU237"/>
  <sheetViews>
    <sheetView showGridLines="0" zoomScale="70" zoomScaleNormal="70" workbookViewId="0">
      <pane ySplit="1" topLeftCell="A98" activePane="bottomLeft" state="frozen"/>
      <selection pane="bottomLeft" activeCell="D115" sqref="D115"/>
    </sheetView>
  </sheetViews>
  <sheetFormatPr baseColWidth="10" defaultColWidth="11.453125" defaultRowHeight="14" x14ac:dyDescent="0.3"/>
  <cols>
    <col min="1" max="1" width="20.1796875" style="525" customWidth="1"/>
    <col min="2" max="2" width="13.453125" style="525" customWidth="1"/>
    <col min="3" max="3" width="11.54296875" style="525" bestFit="1" customWidth="1"/>
    <col min="4" max="4" width="14.7265625" style="525" bestFit="1" customWidth="1"/>
    <col min="5" max="5" width="15.1796875" style="525" customWidth="1"/>
    <col min="6" max="6" width="11.81640625" style="525" bestFit="1" customWidth="1"/>
    <col min="7" max="7" width="11.54296875" style="525" bestFit="1" customWidth="1"/>
    <col min="8" max="8" width="12.54296875" style="525" bestFit="1" customWidth="1"/>
    <col min="9" max="9" width="17.1796875" style="525" bestFit="1" customWidth="1"/>
    <col min="10" max="11" width="12.54296875" style="525" bestFit="1" customWidth="1"/>
    <col min="12" max="20" width="11.81640625" style="525" bestFit="1" customWidth="1"/>
    <col min="21" max="47" width="11.54296875" style="525" bestFit="1" customWidth="1"/>
    <col min="48" max="16384" width="11.453125" style="525"/>
  </cols>
  <sheetData>
    <row r="1" spans="1:20" ht="14.5" x14ac:dyDescent="0.3">
      <c r="A1" s="802" t="s">
        <v>413</v>
      </c>
      <c r="B1" s="802" t="s">
        <v>414</v>
      </c>
      <c r="C1" s="811" t="s">
        <v>942</v>
      </c>
      <c r="H1" s="803">
        <v>2011</v>
      </c>
      <c r="I1" s="804">
        <v>2012</v>
      </c>
      <c r="J1" s="804">
        <v>2013</v>
      </c>
      <c r="K1" s="804">
        <v>2014</v>
      </c>
      <c r="L1" s="804">
        <v>2015</v>
      </c>
      <c r="M1" s="804">
        <v>2016</v>
      </c>
      <c r="N1" s="804">
        <v>2017</v>
      </c>
      <c r="O1" s="804">
        <v>2018</v>
      </c>
      <c r="P1" s="804">
        <v>2019</v>
      </c>
      <c r="Q1" s="804">
        <v>2020</v>
      </c>
      <c r="R1" s="804">
        <v>2021</v>
      </c>
      <c r="S1" s="804">
        <v>2022</v>
      </c>
      <c r="T1" s="805">
        <v>2023</v>
      </c>
    </row>
    <row r="3" spans="1:20" x14ac:dyDescent="0.3">
      <c r="C3" s="806" t="s">
        <v>416</v>
      </c>
    </row>
    <row r="4" spans="1:20" x14ac:dyDescent="0.3">
      <c r="C4" s="807" t="s">
        <v>943</v>
      </c>
    </row>
    <row r="5" spans="1:20" x14ac:dyDescent="0.3">
      <c r="C5" s="806"/>
    </row>
    <row r="6" spans="1:20" x14ac:dyDescent="0.3">
      <c r="C6" s="806" t="s">
        <v>418</v>
      </c>
    </row>
    <row r="7" spans="1:20" x14ac:dyDescent="0.3">
      <c r="C7" s="806"/>
    </row>
    <row r="8" spans="1:20" x14ac:dyDescent="0.3">
      <c r="C8" s="806"/>
    </row>
    <row r="9" spans="1:20" x14ac:dyDescent="0.3">
      <c r="C9" s="806"/>
    </row>
    <row r="10" spans="1:20" x14ac:dyDescent="0.3">
      <c r="C10" s="806"/>
    </row>
    <row r="11" spans="1:20" x14ac:dyDescent="0.3">
      <c r="C11" s="806"/>
    </row>
    <row r="12" spans="1:20" x14ac:dyDescent="0.3">
      <c r="C12" s="806"/>
    </row>
    <row r="13" spans="1:20" x14ac:dyDescent="0.3">
      <c r="C13" s="806"/>
    </row>
    <row r="14" spans="1:20" x14ac:dyDescent="0.3">
      <c r="C14" s="806"/>
    </row>
    <row r="15" spans="1:20" x14ac:dyDescent="0.3">
      <c r="C15" s="806"/>
    </row>
    <row r="16" spans="1:20" x14ac:dyDescent="0.3">
      <c r="C16" s="806"/>
    </row>
    <row r="17" spans="3:16" x14ac:dyDescent="0.3">
      <c r="C17" s="806"/>
    </row>
    <row r="18" spans="3:16" x14ac:dyDescent="0.3">
      <c r="C18" s="806"/>
    </row>
    <row r="19" spans="3:16" x14ac:dyDescent="0.3">
      <c r="C19" s="806"/>
    </row>
    <row r="20" spans="3:16" x14ac:dyDescent="0.3">
      <c r="C20" s="806"/>
    </row>
    <row r="21" spans="3:16" x14ac:dyDescent="0.3">
      <c r="C21" s="806"/>
    </row>
    <row r="22" spans="3:16" x14ac:dyDescent="0.3">
      <c r="C22" s="806"/>
    </row>
    <row r="23" spans="3:16" x14ac:dyDescent="0.3">
      <c r="C23" s="806"/>
    </row>
    <row r="24" spans="3:16" x14ac:dyDescent="0.3">
      <c r="C24" s="806"/>
    </row>
    <row r="25" spans="3:16" x14ac:dyDescent="0.3">
      <c r="C25" s="806"/>
    </row>
    <row r="26" spans="3:16" x14ac:dyDescent="0.3">
      <c r="C26" s="806"/>
    </row>
    <row r="27" spans="3:16" x14ac:dyDescent="0.3">
      <c r="C27" s="806"/>
    </row>
    <row r="28" spans="3:16" x14ac:dyDescent="0.3">
      <c r="C28" s="806"/>
    </row>
    <row r="29" spans="3:16" x14ac:dyDescent="0.3">
      <c r="C29" s="806"/>
    </row>
    <row r="30" spans="3:16" s="808" customFormat="1" x14ac:dyDescent="0.3">
      <c r="C30" s="913" t="s">
        <v>797</v>
      </c>
      <c r="P30" s="809"/>
    </row>
    <row r="31" spans="3:16" x14ac:dyDescent="0.3">
      <c r="N31" s="810"/>
    </row>
    <row r="32" spans="3:16" x14ac:dyDescent="0.3">
      <c r="C32" s="525" t="s">
        <v>944</v>
      </c>
      <c r="N32" s="810"/>
    </row>
    <row r="33" spans="1:20" x14ac:dyDescent="0.3">
      <c r="N33" s="810"/>
    </row>
    <row r="34" spans="1:20" x14ac:dyDescent="0.3">
      <c r="A34" s="525" t="s">
        <v>945</v>
      </c>
      <c r="B34" s="828">
        <v>45663</v>
      </c>
      <c r="C34" s="811" t="s">
        <v>946</v>
      </c>
      <c r="H34" s="812"/>
      <c r="N34" s="813"/>
    </row>
    <row r="35" spans="1:20" x14ac:dyDescent="0.3">
      <c r="C35" s="814"/>
      <c r="D35" s="815"/>
      <c r="E35" s="815" t="s">
        <v>431</v>
      </c>
      <c r="F35" s="816" t="s">
        <v>432</v>
      </c>
      <c r="G35" s="526"/>
      <c r="H35" s="817">
        <v>2011</v>
      </c>
      <c r="I35" s="818">
        <v>2012</v>
      </c>
      <c r="J35" s="818">
        <v>2013</v>
      </c>
      <c r="K35" s="818">
        <v>2014</v>
      </c>
      <c r="L35" s="818">
        <v>2015</v>
      </c>
      <c r="M35" s="818">
        <v>2016</v>
      </c>
      <c r="N35" s="819">
        <v>2017</v>
      </c>
      <c r="O35" s="819">
        <v>2018</v>
      </c>
      <c r="P35" s="819">
        <v>2019</v>
      </c>
      <c r="Q35" s="819">
        <v>2020</v>
      </c>
      <c r="R35" s="819">
        <v>2021</v>
      </c>
      <c r="S35" s="819">
        <v>2022</v>
      </c>
      <c r="T35" s="820">
        <v>2023</v>
      </c>
    </row>
    <row r="36" spans="1:20" x14ac:dyDescent="0.3">
      <c r="C36" s="821" t="s">
        <v>947</v>
      </c>
      <c r="D36" s="822"/>
      <c r="E36" s="822" t="s">
        <v>444</v>
      </c>
      <c r="F36" s="823"/>
      <c r="G36" s="526"/>
      <c r="H36" s="824">
        <v>10800</v>
      </c>
      <c r="I36" s="825">
        <v>11529</v>
      </c>
      <c r="J36" s="825">
        <v>11375</v>
      </c>
      <c r="K36" s="825">
        <v>9713</v>
      </c>
      <c r="L36" s="825">
        <v>8703</v>
      </c>
      <c r="M36" s="826">
        <v>7985</v>
      </c>
      <c r="N36" s="826">
        <v>7979</v>
      </c>
      <c r="O36" s="826">
        <v>8499</v>
      </c>
      <c r="P36" s="826">
        <v>9018</v>
      </c>
      <c r="Q36" s="826">
        <v>8278</v>
      </c>
      <c r="R36" s="826">
        <v>8812.9424529999997</v>
      </c>
      <c r="S36" s="826">
        <v>9067.6014577000005</v>
      </c>
      <c r="T36" s="827">
        <v>9202.8793564000007</v>
      </c>
    </row>
    <row r="37" spans="1:20" x14ac:dyDescent="0.3">
      <c r="B37" s="828"/>
      <c r="C37" s="829" t="s">
        <v>948</v>
      </c>
      <c r="D37" s="526"/>
      <c r="E37" s="830" t="s">
        <v>268</v>
      </c>
      <c r="F37" s="831"/>
      <c r="G37" s="830"/>
      <c r="H37" s="832">
        <v>8955</v>
      </c>
      <c r="I37" s="833">
        <v>9233</v>
      </c>
      <c r="J37" s="833">
        <v>9566</v>
      </c>
      <c r="K37" s="833">
        <v>8108</v>
      </c>
      <c r="L37" s="833">
        <v>7164</v>
      </c>
      <c r="M37" s="834">
        <v>6575</v>
      </c>
      <c r="N37" s="834">
        <v>6956</v>
      </c>
      <c r="O37" s="834">
        <v>7346</v>
      </c>
      <c r="P37" s="834">
        <v>8065</v>
      </c>
      <c r="Q37" s="834">
        <v>7241</v>
      </c>
      <c r="R37" s="834">
        <v>7602.2499889999999</v>
      </c>
      <c r="S37" s="834">
        <v>7803.8633269000002</v>
      </c>
      <c r="T37" s="835">
        <v>7566.8793564000007</v>
      </c>
    </row>
    <row r="38" spans="1:20" ht="14.5" x14ac:dyDescent="0.3">
      <c r="C38" s="76" t="s">
        <v>949</v>
      </c>
      <c r="D38" s="526"/>
      <c r="E38" s="830" t="s">
        <v>268</v>
      </c>
      <c r="F38" s="831"/>
      <c r="G38" s="830"/>
      <c r="H38" s="832">
        <v>3813.4277530235518</v>
      </c>
      <c r="I38" s="833">
        <v>4828.0449535962871</v>
      </c>
      <c r="J38" s="833">
        <v>4540.3107822410147</v>
      </c>
      <c r="K38" s="833">
        <v>4198.7219039224328</v>
      </c>
      <c r="L38" s="833">
        <v>3382.6790322580646</v>
      </c>
      <c r="M38" s="834">
        <v>3031.2937828371278</v>
      </c>
      <c r="N38" s="834">
        <v>3368.854332552693</v>
      </c>
      <c r="O38" s="834">
        <v>3337.2490149724194</v>
      </c>
      <c r="P38" s="834">
        <v>3273.400766609881</v>
      </c>
      <c r="Q38" s="834">
        <v>3141.8062761506276</v>
      </c>
      <c r="R38" s="834">
        <v>3478.5037107881262</v>
      </c>
      <c r="S38" s="834">
        <v>3511.3244193356495</v>
      </c>
      <c r="T38" s="835">
        <v>4587.6411061223453</v>
      </c>
    </row>
    <row r="39" spans="1:20" ht="14.5" x14ac:dyDescent="0.3">
      <c r="C39" s="76" t="s">
        <v>950</v>
      </c>
      <c r="D39" s="526"/>
      <c r="E39" s="830" t="s">
        <v>268</v>
      </c>
      <c r="F39" s="831"/>
      <c r="G39" s="830"/>
      <c r="H39" s="832">
        <v>5141.5722469764478</v>
      </c>
      <c r="I39" s="833">
        <v>4404.9550464037129</v>
      </c>
      <c r="J39" s="833">
        <v>5025.6892177589853</v>
      </c>
      <c r="K39" s="833">
        <v>3909.2780960775672</v>
      </c>
      <c r="L39" s="833">
        <v>3781.3209677419354</v>
      </c>
      <c r="M39" s="834">
        <v>3543.7062171628722</v>
      </c>
      <c r="N39" s="834">
        <v>3587.145667447307</v>
      </c>
      <c r="O39" s="834">
        <v>4008.7509850275806</v>
      </c>
      <c r="P39" s="834">
        <v>4791.5992333901195</v>
      </c>
      <c r="Q39" s="834">
        <v>4099.193723849372</v>
      </c>
      <c r="R39" s="834">
        <v>4123.7462782118737</v>
      </c>
      <c r="S39" s="834">
        <v>4292.5389075643507</v>
      </c>
      <c r="T39" s="835">
        <v>2979.2382502776554</v>
      </c>
    </row>
    <row r="40" spans="1:20" x14ac:dyDescent="0.3">
      <c r="C40" s="836" t="s">
        <v>951</v>
      </c>
      <c r="D40" s="837"/>
      <c r="E40" s="838" t="s">
        <v>444</v>
      </c>
      <c r="F40" s="839"/>
      <c r="G40" s="830"/>
      <c r="H40" s="840">
        <v>19755</v>
      </c>
      <c r="I40" s="841">
        <v>20762</v>
      </c>
      <c r="J40" s="841">
        <v>20941</v>
      </c>
      <c r="K40" s="841">
        <v>17821</v>
      </c>
      <c r="L40" s="841">
        <v>15867</v>
      </c>
      <c r="M40" s="842">
        <v>14560</v>
      </c>
      <c r="N40" s="842">
        <v>14935</v>
      </c>
      <c r="O40" s="842">
        <v>15845</v>
      </c>
      <c r="P40" s="842">
        <v>17083</v>
      </c>
      <c r="Q40" s="842">
        <v>15519</v>
      </c>
      <c r="R40" s="842">
        <v>16415.192442</v>
      </c>
      <c r="S40" s="842">
        <v>16871.464784600001</v>
      </c>
      <c r="T40" s="843">
        <v>16769.758712800001</v>
      </c>
    </row>
    <row r="41" spans="1:20" x14ac:dyDescent="0.3">
      <c r="C41" s="811"/>
      <c r="D41" s="811"/>
      <c r="E41" s="844"/>
      <c r="F41" s="844"/>
      <c r="G41" s="844"/>
      <c r="H41" s="844"/>
      <c r="I41" s="844"/>
      <c r="J41" s="844"/>
      <c r="K41" s="844"/>
      <c r="L41" s="844"/>
    </row>
    <row r="42" spans="1:20" x14ac:dyDescent="0.3">
      <c r="A42" s="845" t="s">
        <v>952</v>
      </c>
      <c r="C42" s="811" t="s">
        <v>953</v>
      </c>
      <c r="D42" s="811"/>
      <c r="E42" s="844"/>
      <c r="F42" s="844"/>
      <c r="G42" s="844"/>
      <c r="H42" s="844"/>
      <c r="I42" s="844"/>
      <c r="J42" s="844"/>
      <c r="K42" s="844"/>
      <c r="L42" s="844"/>
    </row>
    <row r="43" spans="1:20" x14ac:dyDescent="0.3">
      <c r="A43" s="845"/>
      <c r="C43" s="846"/>
      <c r="D43" s="847"/>
      <c r="E43" s="822" t="s">
        <v>431</v>
      </c>
      <c r="F43" s="823" t="s">
        <v>432</v>
      </c>
      <c r="G43" s="844"/>
      <c r="H43" s="817">
        <v>2011</v>
      </c>
      <c r="I43" s="818">
        <v>2012</v>
      </c>
      <c r="J43" s="818">
        <v>2013</v>
      </c>
      <c r="K43" s="818">
        <v>2014</v>
      </c>
      <c r="L43" s="818">
        <v>2015</v>
      </c>
      <c r="M43" s="818">
        <v>2016</v>
      </c>
      <c r="N43" s="819">
        <v>2017</v>
      </c>
      <c r="O43" s="819">
        <v>2018</v>
      </c>
      <c r="P43" s="819">
        <v>2019</v>
      </c>
      <c r="Q43" s="819">
        <v>2020</v>
      </c>
      <c r="R43" s="819">
        <v>2021</v>
      </c>
      <c r="S43" s="819">
        <v>2022</v>
      </c>
      <c r="T43" s="820">
        <v>2023</v>
      </c>
    </row>
    <row r="44" spans="1:20" x14ac:dyDescent="0.3">
      <c r="C44" s="846" t="s">
        <v>954</v>
      </c>
      <c r="D44" s="847"/>
      <c r="E44" s="848" t="s">
        <v>955</v>
      </c>
      <c r="F44" s="849"/>
      <c r="G44" s="844"/>
      <c r="H44" s="850"/>
      <c r="I44" s="851"/>
      <c r="J44" s="851"/>
      <c r="K44" s="851"/>
      <c r="L44" s="851"/>
      <c r="M44" s="852"/>
      <c r="N44" s="525">
        <v>11</v>
      </c>
      <c r="O44" s="525">
        <v>11.5</v>
      </c>
      <c r="P44" s="525">
        <v>12.6</v>
      </c>
      <c r="Q44" s="525">
        <v>11.8</v>
      </c>
      <c r="R44" s="525">
        <v>12.1</v>
      </c>
      <c r="S44" s="525">
        <v>12.6</v>
      </c>
      <c r="T44" s="853">
        <v>13</v>
      </c>
    </row>
    <row r="45" spans="1:20" x14ac:dyDescent="0.3">
      <c r="C45" s="854" t="s">
        <v>956</v>
      </c>
      <c r="D45" s="811"/>
      <c r="E45" s="855" t="s">
        <v>268</v>
      </c>
      <c r="F45" s="856"/>
      <c r="G45" s="844"/>
      <c r="H45" s="857"/>
      <c r="I45" s="844"/>
      <c r="J45" s="844"/>
      <c r="K45" s="844"/>
      <c r="L45" s="844"/>
      <c r="N45" s="525">
        <f>0.616*N44</f>
        <v>6.7759999999999998</v>
      </c>
      <c r="O45" s="525">
        <v>7.15</v>
      </c>
      <c r="P45" s="525">
        <v>8.1999999999999993</v>
      </c>
      <c r="Q45" s="525">
        <v>7.7</v>
      </c>
      <c r="R45" s="525">
        <v>7.9</v>
      </c>
      <c r="S45" s="525">
        <v>8.125</v>
      </c>
      <c r="T45" s="853">
        <f>0.678*T44</f>
        <v>8.8140000000000001</v>
      </c>
    </row>
    <row r="46" spans="1:20" x14ac:dyDescent="0.3">
      <c r="C46" s="854" t="s">
        <v>957</v>
      </c>
      <c r="D46" s="811"/>
      <c r="E46" s="855" t="s">
        <v>268</v>
      </c>
      <c r="F46" s="856"/>
      <c r="G46" s="844"/>
      <c r="H46" s="858"/>
      <c r="I46" s="859"/>
      <c r="J46" s="859"/>
      <c r="K46" s="859"/>
      <c r="L46" s="859"/>
      <c r="M46" s="860"/>
      <c r="N46" s="860">
        <f>N44-N45</f>
        <v>4.2240000000000002</v>
      </c>
      <c r="O46" s="860">
        <f t="shared" ref="O46:T46" si="0">O44-O45</f>
        <v>4.3499999999999996</v>
      </c>
      <c r="P46" s="860">
        <f t="shared" si="0"/>
        <v>4.4000000000000004</v>
      </c>
      <c r="Q46" s="860">
        <f t="shared" si="0"/>
        <v>4.1000000000000005</v>
      </c>
      <c r="R46" s="860">
        <f t="shared" si="0"/>
        <v>4.1999999999999993</v>
      </c>
      <c r="S46" s="860">
        <f t="shared" si="0"/>
        <v>4.4749999999999996</v>
      </c>
      <c r="T46" s="861">
        <f t="shared" si="0"/>
        <v>4.1859999999999999</v>
      </c>
    </row>
    <row r="47" spans="1:20" x14ac:dyDescent="0.3">
      <c r="C47" s="862" t="s">
        <v>958</v>
      </c>
      <c r="D47" s="837"/>
      <c r="E47" s="863" t="s">
        <v>464</v>
      </c>
      <c r="F47" s="839"/>
      <c r="G47" s="844"/>
      <c r="H47" s="864"/>
      <c r="I47" s="838"/>
      <c r="J47" s="838"/>
      <c r="K47" s="838"/>
      <c r="L47" s="838"/>
      <c r="M47" s="865"/>
      <c r="N47" s="866">
        <f>N45/N44</f>
        <v>0.61599999999999999</v>
      </c>
      <c r="O47" s="866">
        <f t="shared" ref="O47:T47" si="1">O45/O44</f>
        <v>0.62173913043478268</v>
      </c>
      <c r="P47" s="866">
        <f t="shared" si="1"/>
        <v>0.6507936507936507</v>
      </c>
      <c r="Q47" s="866">
        <f t="shared" si="1"/>
        <v>0.65254237288135586</v>
      </c>
      <c r="R47" s="866">
        <f t="shared" si="1"/>
        <v>0.65289256198347112</v>
      </c>
      <c r="S47" s="866">
        <f t="shared" si="1"/>
        <v>0.64484126984126988</v>
      </c>
      <c r="T47" s="867">
        <f t="shared" si="1"/>
        <v>0.67800000000000005</v>
      </c>
    </row>
    <row r="48" spans="1:20" x14ac:dyDescent="0.3">
      <c r="C48" s="811"/>
      <c r="D48" s="811"/>
      <c r="E48" s="844"/>
      <c r="F48" s="844"/>
      <c r="G48" s="844"/>
      <c r="H48" s="844"/>
      <c r="I48" s="844"/>
      <c r="J48" s="844"/>
      <c r="K48" s="844"/>
      <c r="L48" s="844"/>
    </row>
    <row r="49" spans="1:22" x14ac:dyDescent="0.3">
      <c r="A49" s="525" t="s">
        <v>959</v>
      </c>
      <c r="C49" s="811" t="s">
        <v>960</v>
      </c>
      <c r="D49" s="811"/>
      <c r="E49" s="844"/>
      <c r="F49" s="844"/>
      <c r="G49" s="844"/>
      <c r="H49" s="844"/>
      <c r="I49" s="844"/>
      <c r="J49" s="844"/>
      <c r="K49" s="844"/>
      <c r="L49" s="844"/>
    </row>
    <row r="50" spans="1:22" x14ac:dyDescent="0.3">
      <c r="C50" s="868"/>
      <c r="D50" s="837"/>
      <c r="E50" s="815" t="s">
        <v>431</v>
      </c>
      <c r="F50" s="816" t="s">
        <v>432</v>
      </c>
      <c r="G50" s="844"/>
      <c r="H50" s="817">
        <v>2011</v>
      </c>
      <c r="I50" s="818">
        <v>2012</v>
      </c>
      <c r="J50" s="818">
        <v>2013</v>
      </c>
      <c r="K50" s="818">
        <v>2014</v>
      </c>
      <c r="L50" s="818">
        <v>2015</v>
      </c>
      <c r="M50" s="818">
        <v>2016</v>
      </c>
      <c r="N50" s="819">
        <v>2017</v>
      </c>
      <c r="O50" s="819">
        <v>2018</v>
      </c>
      <c r="P50" s="819">
        <v>2019</v>
      </c>
      <c r="Q50" s="819">
        <v>2020</v>
      </c>
      <c r="R50" s="819">
        <v>2021</v>
      </c>
      <c r="S50" s="819">
        <v>2022</v>
      </c>
      <c r="T50" s="820">
        <v>2023</v>
      </c>
    </row>
    <row r="51" spans="1:22" x14ac:dyDescent="0.3">
      <c r="C51" s="869" t="s">
        <v>961</v>
      </c>
      <c r="D51" s="870"/>
      <c r="E51" s="871" t="s">
        <v>962</v>
      </c>
      <c r="F51" s="849"/>
      <c r="G51" s="844"/>
      <c r="H51" s="872">
        <v>7128190217.7549095</v>
      </c>
      <c r="I51" s="871">
        <v>7558415079.5642233</v>
      </c>
      <c r="J51" s="871">
        <v>8166148034.4414492</v>
      </c>
      <c r="K51" s="871">
        <v>7159068253.264677</v>
      </c>
      <c r="L51" s="871">
        <v>6471744761.3443403</v>
      </c>
      <c r="M51" s="852">
        <v>6518725565.8310919</v>
      </c>
      <c r="N51" s="852">
        <v>6927077902.7613277</v>
      </c>
      <c r="O51" s="852">
        <v>7600184885.8980236</v>
      </c>
      <c r="P51" s="852">
        <v>8497223168.8917904</v>
      </c>
      <c r="Q51" s="852">
        <v>7220224490.6065531</v>
      </c>
      <c r="R51" s="852">
        <v>7577360886.7784901</v>
      </c>
      <c r="S51" s="852">
        <v>8414391839.591383</v>
      </c>
      <c r="T51" s="873">
        <v>8743207969.6844063</v>
      </c>
      <c r="U51" s="525">
        <v>8991321114.8478699</v>
      </c>
    </row>
    <row r="52" spans="1:22" x14ac:dyDescent="0.3">
      <c r="C52" s="874" t="s">
        <v>963</v>
      </c>
      <c r="D52" s="875"/>
      <c r="E52" s="830" t="s">
        <v>268</v>
      </c>
      <c r="F52" s="856"/>
      <c r="G52" s="844"/>
      <c r="H52" s="876">
        <v>5050537502.2427874</v>
      </c>
      <c r="I52" s="830">
        <v>5065426424.4896498</v>
      </c>
      <c r="J52" s="830">
        <v>5436044543.0890388</v>
      </c>
      <c r="K52" s="830">
        <v>5780500467.1023722</v>
      </c>
      <c r="L52" s="830">
        <v>5194461081.9830732</v>
      </c>
      <c r="M52" s="525">
        <v>4822921704.1886349</v>
      </c>
      <c r="N52" s="525">
        <v>4745501119.1421309</v>
      </c>
      <c r="O52" s="525">
        <v>5102947450.8620691</v>
      </c>
      <c r="P52" s="525">
        <v>5494024163.9341526</v>
      </c>
      <c r="Q52" s="525">
        <v>6018595511.8283615</v>
      </c>
      <c r="R52" s="525">
        <v>5019066899.0056419</v>
      </c>
      <c r="S52" s="525">
        <v>5335502714.7851286</v>
      </c>
      <c r="T52" s="853">
        <v>5909151945.2038622</v>
      </c>
      <c r="U52" s="525">
        <v>5920758741.3287096</v>
      </c>
      <c r="V52" s="525">
        <v>6225924117.8726559</v>
      </c>
    </row>
    <row r="53" spans="1:22" x14ac:dyDescent="0.3">
      <c r="C53" s="874" t="s">
        <v>964</v>
      </c>
      <c r="D53" s="875"/>
      <c r="E53" s="830" t="s">
        <v>268</v>
      </c>
      <c r="F53" s="856"/>
      <c r="G53" s="844"/>
      <c r="H53" s="876">
        <v>1946709478.8850858</v>
      </c>
      <c r="I53" s="830">
        <v>2062763793.2652597</v>
      </c>
      <c r="J53" s="830">
        <v>2122370536.4751847</v>
      </c>
      <c r="K53" s="830">
        <v>2385647567.339077</v>
      </c>
      <c r="L53" s="830">
        <v>1964607171.2816036</v>
      </c>
      <c r="M53" s="525">
        <v>1648823057.1557055</v>
      </c>
      <c r="N53" s="525">
        <v>1773224446.688961</v>
      </c>
      <c r="O53" s="525">
        <v>1824130451.8992591</v>
      </c>
      <c r="P53" s="525">
        <v>2106160721.9638708</v>
      </c>
      <c r="Q53" s="525">
        <v>2478627657.0634289</v>
      </c>
      <c r="R53" s="525">
        <v>2201157591.6009111</v>
      </c>
      <c r="S53" s="525">
        <v>2241858171.993361</v>
      </c>
      <c r="T53" s="853">
        <v>2505239894.3875203</v>
      </c>
      <c r="U53" s="525">
        <v>2822449228.3556957</v>
      </c>
      <c r="V53" s="525">
        <v>2765396996.9752135</v>
      </c>
    </row>
    <row r="54" spans="1:22" x14ac:dyDescent="0.3">
      <c r="C54" s="877" t="s">
        <v>965</v>
      </c>
      <c r="D54" s="878"/>
      <c r="E54" s="879" t="s">
        <v>268</v>
      </c>
      <c r="F54" s="880"/>
      <c r="G54" s="844"/>
      <c r="H54" s="881"/>
      <c r="I54" s="879"/>
      <c r="J54" s="879"/>
      <c r="K54" s="879"/>
      <c r="L54" s="879"/>
      <c r="M54" s="860">
        <v>7036976801.5046082</v>
      </c>
      <c r="N54" s="860">
        <v>7040460271.1360416</v>
      </c>
      <c r="O54" s="860">
        <v>7315207322.5804863</v>
      </c>
      <c r="P54" s="860">
        <v>7832249898.2229471</v>
      </c>
      <c r="Q54" s="860">
        <v>8844168139.4146347</v>
      </c>
      <c r="R54" s="860">
        <v>7797250889.0815048</v>
      </c>
      <c r="S54" s="860">
        <v>8234379462.6921663</v>
      </c>
      <c r="T54" s="861">
        <v>8785038235.3983688</v>
      </c>
      <c r="U54" s="525">
        <v>8956539741.4953747</v>
      </c>
    </row>
    <row r="55" spans="1:22" x14ac:dyDescent="0.3">
      <c r="C55" s="811"/>
      <c r="D55" s="811"/>
      <c r="E55" s="844"/>
      <c r="F55" s="844"/>
      <c r="G55" s="844"/>
      <c r="H55" s="844"/>
      <c r="I55" s="844"/>
      <c r="J55" s="844"/>
      <c r="K55" s="844"/>
      <c r="L55" s="844"/>
    </row>
    <row r="56" spans="1:22" x14ac:dyDescent="0.3">
      <c r="C56" s="526" t="s">
        <v>966</v>
      </c>
      <c r="D56" s="811"/>
      <c r="E56" s="844"/>
      <c r="F56" s="844"/>
      <c r="G56" s="844"/>
      <c r="H56" s="844"/>
      <c r="I56" s="844"/>
      <c r="J56" s="844"/>
      <c r="K56" s="844"/>
      <c r="L56" s="844"/>
    </row>
    <row r="58" spans="1:22" x14ac:dyDescent="0.3">
      <c r="C58" s="882" t="s">
        <v>967</v>
      </c>
    </row>
    <row r="60" spans="1:22" x14ac:dyDescent="0.3">
      <c r="C60" s="525" t="s">
        <v>968</v>
      </c>
    </row>
    <row r="61" spans="1:22" x14ac:dyDescent="0.3">
      <c r="C61" s="525" t="s">
        <v>969</v>
      </c>
    </row>
    <row r="63" spans="1:22" x14ac:dyDescent="0.3">
      <c r="C63" s="883" t="s">
        <v>970</v>
      </c>
    </row>
    <row r="65" spans="1:25" x14ac:dyDescent="0.3">
      <c r="A65" s="845" t="s">
        <v>971</v>
      </c>
      <c r="C65" s="921" t="s">
        <v>972</v>
      </c>
      <c r="D65" s="922"/>
      <c r="E65" s="915"/>
      <c r="F65" s="923"/>
      <c r="G65" s="807"/>
      <c r="H65" s="920">
        <v>2011</v>
      </c>
      <c r="I65" s="917">
        <v>2012</v>
      </c>
      <c r="J65" s="917">
        <v>2013</v>
      </c>
      <c r="K65" s="917">
        <v>2014</v>
      </c>
      <c r="L65" s="917">
        <v>2015</v>
      </c>
      <c r="M65" s="917">
        <v>2016</v>
      </c>
      <c r="N65" s="917">
        <v>2017</v>
      </c>
      <c r="O65" s="918" t="s">
        <v>973</v>
      </c>
      <c r="P65" s="918">
        <v>2019</v>
      </c>
      <c r="Q65" s="918">
        <v>2020</v>
      </c>
      <c r="R65" s="918">
        <v>2021</v>
      </c>
      <c r="S65" s="918">
        <v>2022</v>
      </c>
      <c r="T65" s="919">
        <v>2023</v>
      </c>
      <c r="U65" s="807"/>
      <c r="V65" s="807"/>
      <c r="W65" s="807"/>
      <c r="X65" s="807"/>
      <c r="Y65" s="807"/>
    </row>
    <row r="66" spans="1:25" ht="14.5" x14ac:dyDescent="0.35">
      <c r="C66" s="924" t="s">
        <v>974</v>
      </c>
      <c r="D66" s="925"/>
      <c r="E66" s="914"/>
      <c r="F66" s="926" t="s">
        <v>975</v>
      </c>
      <c r="G66" s="807"/>
      <c r="H66" s="356">
        <v>379479</v>
      </c>
      <c r="I66" s="357">
        <v>379590</v>
      </c>
      <c r="J66" s="357">
        <v>378948</v>
      </c>
      <c r="K66" s="357">
        <v>378603</v>
      </c>
      <c r="L66" s="357">
        <v>379194</v>
      </c>
      <c r="M66" s="358">
        <v>378791</v>
      </c>
      <c r="N66" s="358">
        <v>375362</v>
      </c>
      <c r="O66" s="359">
        <v>375540</v>
      </c>
      <c r="P66" s="359">
        <v>375754</v>
      </c>
      <c r="Q66" s="359">
        <v>375896</v>
      </c>
      <c r="R66" s="359">
        <v>375968</v>
      </c>
      <c r="S66" s="359">
        <v>376264</v>
      </c>
      <c r="T66" s="360">
        <v>376238</v>
      </c>
      <c r="U66" s="807"/>
      <c r="V66" s="807"/>
      <c r="W66" s="807"/>
      <c r="X66" s="807"/>
      <c r="Y66" s="807"/>
    </row>
    <row r="67" spans="1:25" ht="14.5" x14ac:dyDescent="0.35">
      <c r="C67" s="885"/>
      <c r="D67" s="807"/>
      <c r="E67" s="807"/>
      <c r="F67" s="807"/>
      <c r="G67" s="807"/>
      <c r="H67" s="807"/>
      <c r="I67" s="807"/>
      <c r="J67" s="807"/>
      <c r="K67" s="807"/>
      <c r="L67" s="807"/>
      <c r="M67" s="807"/>
      <c r="N67" s="807"/>
      <c r="O67" s="807"/>
      <c r="P67" s="807"/>
      <c r="Q67" s="807"/>
      <c r="R67" s="807"/>
      <c r="S67" s="807"/>
      <c r="T67" s="807"/>
      <c r="U67" s="807"/>
      <c r="V67" s="807"/>
      <c r="W67" s="807"/>
      <c r="X67" s="807"/>
      <c r="Y67" s="886"/>
    </row>
    <row r="69" spans="1:25" x14ac:dyDescent="0.3">
      <c r="A69" s="845" t="s">
        <v>971</v>
      </c>
      <c r="C69" s="921" t="s">
        <v>976</v>
      </c>
      <c r="D69" s="922"/>
      <c r="E69" s="915"/>
      <c r="F69" s="923"/>
      <c r="G69" s="807"/>
      <c r="H69" s="920">
        <v>2011</v>
      </c>
      <c r="I69" s="917">
        <v>2012</v>
      </c>
      <c r="J69" s="917">
        <v>2013</v>
      </c>
      <c r="K69" s="917">
        <v>2014</v>
      </c>
      <c r="L69" s="917">
        <v>2015</v>
      </c>
      <c r="M69" s="917">
        <v>2016</v>
      </c>
      <c r="N69" s="917">
        <v>2017</v>
      </c>
      <c r="O69" s="918" t="s">
        <v>973</v>
      </c>
      <c r="P69" s="918">
        <v>2019</v>
      </c>
      <c r="Q69" s="918">
        <v>2020</v>
      </c>
      <c r="R69" s="918">
        <v>2021</v>
      </c>
      <c r="S69" s="918">
        <v>2022</v>
      </c>
      <c r="T69" s="919">
        <v>2023</v>
      </c>
      <c r="U69" s="807"/>
      <c r="V69" s="807"/>
      <c r="W69" s="807"/>
      <c r="X69" s="807"/>
      <c r="Y69" s="807"/>
    </row>
    <row r="70" spans="1:25" ht="14.5" x14ac:dyDescent="0.35">
      <c r="C70" s="924" t="s">
        <v>974</v>
      </c>
      <c r="D70" s="925"/>
      <c r="E70" s="914"/>
      <c r="F70" s="926" t="s">
        <v>975</v>
      </c>
      <c r="G70" s="807"/>
      <c r="H70" s="361">
        <v>649866</v>
      </c>
      <c r="I70" s="358">
        <v>664718</v>
      </c>
      <c r="J70" s="358">
        <v>671665</v>
      </c>
      <c r="K70" s="358">
        <v>671665</v>
      </c>
      <c r="L70" s="358">
        <v>677969</v>
      </c>
      <c r="M70" s="362">
        <v>689406</v>
      </c>
      <c r="N70" s="362">
        <v>695051</v>
      </c>
      <c r="O70" s="362">
        <v>694076</v>
      </c>
      <c r="P70" s="362">
        <v>694300</v>
      </c>
      <c r="Q70" s="362">
        <v>695925</v>
      </c>
      <c r="R70" s="362">
        <v>695033</v>
      </c>
      <c r="S70" s="362">
        <v>698902</v>
      </c>
      <c r="T70" s="363">
        <v>701322</v>
      </c>
      <c r="U70" s="807"/>
      <c r="V70" s="807"/>
      <c r="W70" s="807"/>
      <c r="X70" s="807"/>
      <c r="Y70" s="807"/>
    </row>
    <row r="71" spans="1:25" ht="14.5" x14ac:dyDescent="0.35">
      <c r="C71" s="885"/>
      <c r="D71" s="884"/>
      <c r="E71" s="807"/>
      <c r="F71" s="807"/>
      <c r="G71" s="807"/>
      <c r="H71" s="807"/>
      <c r="I71" s="807"/>
      <c r="J71" s="807"/>
      <c r="K71" s="807"/>
      <c r="L71" s="807"/>
      <c r="M71" s="807"/>
      <c r="N71" s="807"/>
      <c r="O71" s="807"/>
      <c r="P71" s="807"/>
      <c r="Q71" s="807"/>
      <c r="R71" s="807"/>
      <c r="S71" s="807"/>
      <c r="T71" s="807"/>
      <c r="U71" s="807"/>
      <c r="V71" s="807"/>
      <c r="W71" s="807"/>
      <c r="X71" s="807"/>
      <c r="Y71" s="886"/>
    </row>
    <row r="72" spans="1:25" x14ac:dyDescent="0.3">
      <c r="C72" s="525" t="s">
        <v>977</v>
      </c>
    </row>
    <row r="74" spans="1:25" ht="14.5" x14ac:dyDescent="0.35">
      <c r="C74" s="927" t="s">
        <v>978</v>
      </c>
      <c r="D74" s="852"/>
      <c r="E74" s="852"/>
      <c r="F74" s="928" t="s">
        <v>975</v>
      </c>
      <c r="H74" s="920">
        <v>2011</v>
      </c>
      <c r="I74" s="917">
        <v>2012</v>
      </c>
      <c r="J74" s="917">
        <v>2013</v>
      </c>
      <c r="K74" s="917">
        <v>2014</v>
      </c>
      <c r="L74" s="917">
        <v>2015</v>
      </c>
      <c r="M74" s="917">
        <v>2016</v>
      </c>
      <c r="N74" s="917">
        <v>2017</v>
      </c>
      <c r="O74" s="918" t="s">
        <v>973</v>
      </c>
      <c r="P74" s="918">
        <v>2019</v>
      </c>
      <c r="Q74" s="918">
        <v>2020</v>
      </c>
      <c r="R74" s="918">
        <v>2021</v>
      </c>
      <c r="S74" s="918">
        <v>2022</v>
      </c>
      <c r="T74" s="919">
        <v>2023</v>
      </c>
    </row>
    <row r="75" spans="1:25" ht="14.5" x14ac:dyDescent="0.35">
      <c r="C75" s="929" t="s">
        <v>979</v>
      </c>
      <c r="F75" s="853" t="s">
        <v>268</v>
      </c>
      <c r="H75" s="931"/>
      <c r="I75" s="892">
        <f t="shared" ref="I75:T75" si="2">I66-H66</f>
        <v>111</v>
      </c>
      <c r="J75" s="892">
        <f t="shared" si="2"/>
        <v>-642</v>
      </c>
      <c r="K75" s="892">
        <f t="shared" si="2"/>
        <v>-345</v>
      </c>
      <c r="L75" s="892">
        <f t="shared" si="2"/>
        <v>591</v>
      </c>
      <c r="M75" s="892">
        <f t="shared" si="2"/>
        <v>-403</v>
      </c>
      <c r="N75" s="892">
        <f t="shared" si="2"/>
        <v>-3429</v>
      </c>
      <c r="O75" s="892">
        <f t="shared" si="2"/>
        <v>178</v>
      </c>
      <c r="P75" s="892">
        <f t="shared" si="2"/>
        <v>214</v>
      </c>
      <c r="Q75" s="892">
        <f t="shared" si="2"/>
        <v>142</v>
      </c>
      <c r="R75" s="892">
        <f t="shared" si="2"/>
        <v>72</v>
      </c>
      <c r="S75" s="892">
        <f t="shared" si="2"/>
        <v>296</v>
      </c>
      <c r="T75" s="891">
        <f t="shared" si="2"/>
        <v>-26</v>
      </c>
    </row>
    <row r="76" spans="1:25" ht="14.5" x14ac:dyDescent="0.35">
      <c r="C76" s="930" t="s">
        <v>980</v>
      </c>
      <c r="D76" s="860"/>
      <c r="E76" s="860"/>
      <c r="F76" s="861" t="s">
        <v>268</v>
      </c>
      <c r="H76" s="932"/>
      <c r="I76" s="889">
        <f t="shared" ref="I76:T76" si="3">I70-H70</f>
        <v>14852</v>
      </c>
      <c r="J76" s="889">
        <f t="shared" si="3"/>
        <v>6947</v>
      </c>
      <c r="K76" s="889">
        <f t="shared" si="3"/>
        <v>0</v>
      </c>
      <c r="L76" s="889">
        <f t="shared" si="3"/>
        <v>6304</v>
      </c>
      <c r="M76" s="889">
        <f t="shared" si="3"/>
        <v>11437</v>
      </c>
      <c r="N76" s="889">
        <f t="shared" si="3"/>
        <v>5645</v>
      </c>
      <c r="O76" s="889">
        <f t="shared" si="3"/>
        <v>-975</v>
      </c>
      <c r="P76" s="889">
        <f t="shared" si="3"/>
        <v>224</v>
      </c>
      <c r="Q76" s="889">
        <f t="shared" si="3"/>
        <v>1625</v>
      </c>
      <c r="R76" s="889">
        <f t="shared" si="3"/>
        <v>-892</v>
      </c>
      <c r="S76" s="889">
        <f t="shared" si="3"/>
        <v>3869</v>
      </c>
      <c r="T76" s="890">
        <f t="shared" si="3"/>
        <v>2420</v>
      </c>
    </row>
    <row r="77" spans="1:25" ht="14.5" x14ac:dyDescent="0.35">
      <c r="C77" s="933" t="s">
        <v>277</v>
      </c>
      <c r="D77" s="865"/>
      <c r="E77" s="865"/>
      <c r="F77" s="902" t="s">
        <v>268</v>
      </c>
      <c r="H77" s="903">
        <f>SUM(H75:H76)</f>
        <v>0</v>
      </c>
      <c r="I77" s="904">
        <f t="shared" ref="I77:T77" si="4">SUM(I75:I76)</f>
        <v>14963</v>
      </c>
      <c r="J77" s="904">
        <f t="shared" si="4"/>
        <v>6305</v>
      </c>
      <c r="K77" s="904">
        <f t="shared" si="4"/>
        <v>-345</v>
      </c>
      <c r="L77" s="904">
        <f t="shared" si="4"/>
        <v>6895</v>
      </c>
      <c r="M77" s="904">
        <f t="shared" si="4"/>
        <v>11034</v>
      </c>
      <c r="N77" s="904">
        <f t="shared" si="4"/>
        <v>2216</v>
      </c>
      <c r="O77" s="904">
        <f t="shared" si="4"/>
        <v>-797</v>
      </c>
      <c r="P77" s="904">
        <f t="shared" si="4"/>
        <v>438</v>
      </c>
      <c r="Q77" s="904">
        <f t="shared" si="4"/>
        <v>1767</v>
      </c>
      <c r="R77" s="904">
        <f t="shared" si="4"/>
        <v>-820</v>
      </c>
      <c r="S77" s="904">
        <f t="shared" si="4"/>
        <v>4165</v>
      </c>
      <c r="T77" s="905">
        <f t="shared" si="4"/>
        <v>2394</v>
      </c>
    </row>
    <row r="79" spans="1:25" x14ac:dyDescent="0.3">
      <c r="C79" s="525" t="s">
        <v>981</v>
      </c>
    </row>
    <row r="81" spans="1:12" x14ac:dyDescent="0.3">
      <c r="C81" s="887" t="s">
        <v>982</v>
      </c>
    </row>
    <row r="82" spans="1:12" x14ac:dyDescent="0.3">
      <c r="A82" s="845" t="s">
        <v>983</v>
      </c>
      <c r="C82" s="846" t="s">
        <v>984</v>
      </c>
      <c r="D82" s="852"/>
      <c r="E82" s="852"/>
      <c r="F82" s="852"/>
      <c r="G82" s="852"/>
      <c r="H82" s="852"/>
      <c r="I82" s="852"/>
      <c r="J82" s="852"/>
      <c r="K82" s="852"/>
      <c r="L82" s="873"/>
    </row>
    <row r="83" spans="1:12" x14ac:dyDescent="0.3">
      <c r="C83" s="854" t="s">
        <v>985</v>
      </c>
      <c r="L83" s="853"/>
    </row>
    <row r="84" spans="1:12" x14ac:dyDescent="0.3">
      <c r="C84" s="854" t="s">
        <v>986</v>
      </c>
      <c r="L84" s="853"/>
    </row>
    <row r="85" spans="1:12" x14ac:dyDescent="0.3">
      <c r="C85" s="854" t="s">
        <v>987</v>
      </c>
      <c r="L85" s="853"/>
    </row>
    <row r="86" spans="1:12" x14ac:dyDescent="0.3">
      <c r="C86" s="854" t="s">
        <v>988</v>
      </c>
      <c r="L86" s="853"/>
    </row>
    <row r="87" spans="1:12" x14ac:dyDescent="0.3">
      <c r="A87" s="845" t="s">
        <v>989</v>
      </c>
      <c r="C87" s="916" t="s">
        <v>990</v>
      </c>
      <c r="L87" s="853"/>
    </row>
    <row r="88" spans="1:12" x14ac:dyDescent="0.3">
      <c r="A88" s="525" t="s">
        <v>991</v>
      </c>
      <c r="B88" s="828"/>
      <c r="C88" s="888" t="s">
        <v>992</v>
      </c>
      <c r="D88" s="860"/>
      <c r="E88" s="860"/>
      <c r="F88" s="860"/>
      <c r="G88" s="860"/>
      <c r="H88" s="860"/>
      <c r="I88" s="860"/>
      <c r="J88" s="860"/>
      <c r="K88" s="860"/>
      <c r="L88" s="861"/>
    </row>
    <row r="91" spans="1:12" x14ac:dyDescent="0.3">
      <c r="C91" s="525" t="s">
        <v>993</v>
      </c>
    </row>
    <row r="92" spans="1:12" x14ac:dyDescent="0.3">
      <c r="C92" s="525" t="s">
        <v>994</v>
      </c>
    </row>
    <row r="94" spans="1:12" x14ac:dyDescent="0.3">
      <c r="C94" s="887" t="s">
        <v>995</v>
      </c>
    </row>
    <row r="95" spans="1:12" x14ac:dyDescent="0.3">
      <c r="A95" s="525" t="s">
        <v>991</v>
      </c>
      <c r="C95" s="868" t="s">
        <v>996</v>
      </c>
      <c r="D95" s="865" t="s">
        <v>962</v>
      </c>
      <c r="E95" s="934">
        <v>1440000000</v>
      </c>
    </row>
    <row r="97" spans="1:24" x14ac:dyDescent="0.3">
      <c r="C97" s="525" t="s">
        <v>997</v>
      </c>
    </row>
    <row r="98" spans="1:24" x14ac:dyDescent="0.3">
      <c r="C98" s="846" t="s">
        <v>998</v>
      </c>
      <c r="D98" s="852" t="s">
        <v>464</v>
      </c>
      <c r="E98" s="935">
        <f>(E95/10^6)/S38</f>
        <v>0.4101016676415366</v>
      </c>
    </row>
    <row r="99" spans="1:24" x14ac:dyDescent="0.3">
      <c r="C99" s="854" t="s">
        <v>999</v>
      </c>
      <c r="D99" s="525" t="s">
        <v>268</v>
      </c>
      <c r="E99" s="936">
        <f>(E95/10^9)/S45</f>
        <v>0.17723076923076922</v>
      </c>
    </row>
    <row r="100" spans="1:24" x14ac:dyDescent="0.3">
      <c r="C100" s="888" t="s">
        <v>1000</v>
      </c>
      <c r="D100" s="860" t="s">
        <v>268</v>
      </c>
      <c r="E100" s="937">
        <f>E95/S51</f>
        <v>0.17113536277506289</v>
      </c>
    </row>
    <row r="102" spans="1:24" x14ac:dyDescent="0.3">
      <c r="C102" s="525" t="s">
        <v>1001</v>
      </c>
    </row>
    <row r="104" spans="1:24" x14ac:dyDescent="0.3">
      <c r="C104" s="887" t="s">
        <v>1002</v>
      </c>
      <c r="H104" s="977">
        <v>2011</v>
      </c>
      <c r="I104" s="978">
        <v>2012</v>
      </c>
      <c r="J104" s="978">
        <v>2013</v>
      </c>
      <c r="K104" s="978">
        <v>2014</v>
      </c>
      <c r="L104" s="978">
        <v>2015</v>
      </c>
      <c r="M104" s="978">
        <v>2016</v>
      </c>
      <c r="N104" s="978">
        <v>2017</v>
      </c>
      <c r="O104" s="979" t="s">
        <v>973</v>
      </c>
      <c r="P104" s="979">
        <v>2019</v>
      </c>
      <c r="Q104" s="979">
        <v>2020</v>
      </c>
      <c r="R104" s="979">
        <v>2021</v>
      </c>
      <c r="S104" s="979">
        <v>2022</v>
      </c>
      <c r="T104" s="980">
        <v>2023</v>
      </c>
    </row>
    <row r="105" spans="1:24" x14ac:dyDescent="0.3">
      <c r="C105" s="846" t="s">
        <v>998</v>
      </c>
      <c r="D105" s="852"/>
      <c r="E105" s="852" t="s">
        <v>939</v>
      </c>
      <c r="F105" s="873"/>
      <c r="H105" s="846">
        <f>$E$98*H38</f>
        <v>1563.8930809454764</v>
      </c>
      <c r="I105" s="852">
        <f t="shared" ref="I105:T105" si="5">$E$98*I38</f>
        <v>1979.9892869181426</v>
      </c>
      <c r="J105" s="852">
        <f t="shared" si="5"/>
        <v>1861.9890234078898</v>
      </c>
      <c r="K105" s="852">
        <f t="shared" si="5"/>
        <v>1721.9028547616374</v>
      </c>
      <c r="L105" s="852">
        <f t="shared" si="5"/>
        <v>1387.2423122250914</v>
      </c>
      <c r="M105" s="852">
        <f t="shared" si="5"/>
        <v>1243.1386354529279</v>
      </c>
      <c r="N105" s="852">
        <f t="shared" si="5"/>
        <v>1381.5727798212752</v>
      </c>
      <c r="O105" s="852">
        <f t="shared" si="5"/>
        <v>1368.6113863752646</v>
      </c>
      <c r="P105" s="852">
        <f t="shared" si="5"/>
        <v>1342.4271132457966</v>
      </c>
      <c r="Q105" s="852">
        <f t="shared" si="5"/>
        <v>1288.4599932560184</v>
      </c>
      <c r="R105" s="852">
        <f t="shared" si="5"/>
        <v>1426.5401726914838</v>
      </c>
      <c r="S105" s="852">
        <f t="shared" si="5"/>
        <v>1440</v>
      </c>
      <c r="T105" s="873">
        <f t="shared" si="5"/>
        <v>1881.3992681616373</v>
      </c>
    </row>
    <row r="106" spans="1:24" x14ac:dyDescent="0.3">
      <c r="C106" s="854" t="s">
        <v>999</v>
      </c>
      <c r="E106" s="525" t="s">
        <v>268</v>
      </c>
      <c r="F106" s="853"/>
      <c r="H106" s="854">
        <f>$E$99*H45*10^3</f>
        <v>0</v>
      </c>
      <c r="I106" s="525">
        <f t="shared" ref="I106:T106" si="6">$E$99*I45*10^3</f>
        <v>0</v>
      </c>
      <c r="J106" s="525">
        <f t="shared" si="6"/>
        <v>0</v>
      </c>
      <c r="K106" s="525">
        <f t="shared" si="6"/>
        <v>0</v>
      </c>
      <c r="L106" s="525">
        <f t="shared" si="6"/>
        <v>0</v>
      </c>
      <c r="M106" s="525">
        <f t="shared" si="6"/>
        <v>0</v>
      </c>
      <c r="N106" s="525">
        <f t="shared" si="6"/>
        <v>1200.9156923076923</v>
      </c>
      <c r="O106" s="525">
        <f t="shared" si="6"/>
        <v>1267.1999999999998</v>
      </c>
      <c r="P106" s="525">
        <f t="shared" si="6"/>
        <v>1453.2923076923075</v>
      </c>
      <c r="Q106" s="525">
        <f t="shared" si="6"/>
        <v>1364.6769230769232</v>
      </c>
      <c r="R106" s="525">
        <f t="shared" si="6"/>
        <v>1400.1230769230767</v>
      </c>
      <c r="S106" s="525">
        <f t="shared" si="6"/>
        <v>1440</v>
      </c>
      <c r="T106" s="853">
        <f t="shared" si="6"/>
        <v>1562.1119999999999</v>
      </c>
    </row>
    <row r="107" spans="1:24" ht="14.5" x14ac:dyDescent="0.35">
      <c r="A107" s="984" t="s">
        <v>792</v>
      </c>
      <c r="C107" s="888" t="s">
        <v>1000</v>
      </c>
      <c r="D107" s="860"/>
      <c r="E107" s="860" t="s">
        <v>268</v>
      </c>
      <c r="F107" s="861"/>
      <c r="H107" s="888">
        <f>$E$100*H51/10^6</f>
        <v>1219.885418845141</v>
      </c>
      <c r="I107" s="860">
        <f t="shared" ref="I107:T107" si="7">$E$100*I51/10^6</f>
        <v>1293.5121066457291</v>
      </c>
      <c r="J107" s="860">
        <f t="shared" si="7"/>
        <v>1397.5167063490044</v>
      </c>
      <c r="K107" s="860">
        <f t="shared" si="7"/>
        <v>1225.1697426538863</v>
      </c>
      <c r="L107" s="860">
        <f t="shared" si="7"/>
        <v>1107.5443875202766</v>
      </c>
      <c r="M107" s="860">
        <f t="shared" si="7"/>
        <v>1115.5844645395809</v>
      </c>
      <c r="N107" s="860">
        <f t="shared" si="7"/>
        <v>1185.4679898601817</v>
      </c>
      <c r="O107" s="860">
        <f t="shared" si="7"/>
        <v>1300.6603976057081</v>
      </c>
      <c r="P107" s="860">
        <f t="shared" si="7"/>
        <v>1454.1753695889661</v>
      </c>
      <c r="Q107" s="860">
        <f t="shared" si="7"/>
        <v>1235.6357375173461</v>
      </c>
      <c r="R107" s="860">
        <f t="shared" si="7"/>
        <v>1296.7544042364093</v>
      </c>
      <c r="S107" s="860">
        <f t="shared" si="7"/>
        <v>1440</v>
      </c>
      <c r="T107" s="861">
        <f t="shared" si="7"/>
        <v>1496.2720677097618</v>
      </c>
    </row>
    <row r="109" spans="1:24" ht="19.5" customHeight="1" x14ac:dyDescent="0.3"/>
    <row r="110" spans="1:24" x14ac:dyDescent="0.3">
      <c r="A110" s="940"/>
      <c r="B110" s="940"/>
      <c r="C110" s="940"/>
      <c r="D110" s="940"/>
      <c r="E110" s="940"/>
      <c r="F110" s="940"/>
      <c r="G110" s="940"/>
      <c r="H110" s="940"/>
      <c r="I110" s="940"/>
      <c r="J110" s="940"/>
      <c r="K110" s="940"/>
      <c r="L110" s="940"/>
      <c r="M110" s="940"/>
      <c r="N110" s="940"/>
      <c r="O110" s="940"/>
      <c r="P110" s="940"/>
      <c r="Q110" s="940"/>
      <c r="R110" s="940"/>
      <c r="S110" s="940"/>
      <c r="T110" s="940"/>
      <c r="U110" s="940"/>
      <c r="V110" s="940"/>
      <c r="W110" s="940"/>
      <c r="X110" s="940"/>
    </row>
    <row r="111" spans="1:24" x14ac:dyDescent="0.3">
      <c r="A111" s="940"/>
      <c r="B111" s="940"/>
      <c r="C111" s="940"/>
      <c r="D111" s="940"/>
      <c r="E111" s="940"/>
      <c r="F111" s="940"/>
      <c r="G111" s="940"/>
      <c r="H111" s="940"/>
      <c r="I111" s="940"/>
      <c r="J111" s="940"/>
      <c r="K111" s="940"/>
      <c r="L111" s="940"/>
      <c r="M111" s="940"/>
      <c r="N111" s="940"/>
      <c r="O111" s="940"/>
      <c r="P111" s="940"/>
      <c r="Q111" s="940"/>
      <c r="R111" s="940"/>
      <c r="S111" s="940"/>
      <c r="T111" s="940"/>
      <c r="U111" s="940"/>
      <c r="V111" s="940"/>
      <c r="W111" s="940"/>
      <c r="X111" s="940"/>
    </row>
    <row r="112" spans="1:24" x14ac:dyDescent="0.3">
      <c r="A112" s="940"/>
      <c r="B112" s="940"/>
      <c r="C112" s="940"/>
      <c r="D112" s="940"/>
      <c r="E112" s="940"/>
      <c r="F112" s="940"/>
      <c r="G112" s="940"/>
      <c r="H112" s="940"/>
      <c r="I112" s="940"/>
      <c r="J112" s="940"/>
      <c r="K112" s="940"/>
      <c r="L112" s="940"/>
      <c r="M112" s="940"/>
      <c r="N112" s="940"/>
      <c r="O112" s="940"/>
      <c r="P112" s="940"/>
      <c r="Q112" s="940"/>
      <c r="R112" s="940"/>
      <c r="S112" s="940"/>
      <c r="T112" s="940"/>
      <c r="U112" s="940"/>
      <c r="V112" s="940"/>
      <c r="W112" s="940"/>
      <c r="X112" s="940"/>
    </row>
    <row r="113" spans="1:24" x14ac:dyDescent="0.3">
      <c r="A113" s="940"/>
      <c r="B113" s="941"/>
      <c r="C113" s="940"/>
      <c r="D113" s="940"/>
      <c r="E113" s="940"/>
      <c r="F113" s="940"/>
      <c r="G113" s="940"/>
      <c r="H113" s="940"/>
      <c r="I113" s="940"/>
      <c r="J113" s="940"/>
      <c r="K113" s="940"/>
      <c r="L113" s="940"/>
      <c r="M113" s="940"/>
      <c r="N113" s="940"/>
      <c r="O113" s="940"/>
      <c r="P113" s="940"/>
      <c r="Q113" s="940"/>
      <c r="R113" s="940"/>
      <c r="S113" s="940"/>
      <c r="T113" s="940"/>
      <c r="U113" s="940"/>
      <c r="V113" s="940"/>
      <c r="W113" s="940"/>
      <c r="X113" s="940"/>
    </row>
    <row r="114" spans="1:24" x14ac:dyDescent="0.3">
      <c r="A114" s="940"/>
      <c r="B114" s="940"/>
      <c r="C114" s="940"/>
      <c r="D114" s="940"/>
      <c r="E114" s="940"/>
      <c r="F114" s="940"/>
      <c r="G114" s="940"/>
      <c r="H114" s="940"/>
      <c r="I114" s="940"/>
      <c r="J114" s="940"/>
      <c r="K114" s="940"/>
      <c r="L114" s="940"/>
      <c r="M114" s="940"/>
      <c r="N114" s="940"/>
      <c r="O114" s="940"/>
      <c r="P114" s="940"/>
      <c r="Q114" s="940"/>
      <c r="R114" s="940"/>
      <c r="S114" s="940"/>
      <c r="T114" s="940"/>
      <c r="U114" s="940"/>
      <c r="V114" s="940"/>
      <c r="W114" s="940"/>
      <c r="X114" s="940"/>
    </row>
    <row r="115" spans="1:24" x14ac:dyDescent="0.3">
      <c r="A115" s="940"/>
      <c r="B115" s="940"/>
      <c r="C115" s="940"/>
      <c r="D115" s="940"/>
      <c r="E115" s="940"/>
      <c r="F115" s="940"/>
      <c r="G115" s="940"/>
      <c r="H115" s="940"/>
      <c r="I115" s="940"/>
      <c r="J115" s="940"/>
      <c r="K115" s="940"/>
      <c r="L115" s="940"/>
      <c r="M115" s="940"/>
      <c r="N115" s="940"/>
      <c r="O115" s="940"/>
      <c r="P115" s="940"/>
      <c r="Q115" s="940"/>
      <c r="R115" s="940"/>
      <c r="S115" s="940"/>
      <c r="T115" s="940"/>
      <c r="U115" s="940"/>
      <c r="V115" s="940"/>
      <c r="W115" s="940"/>
      <c r="X115" s="940"/>
    </row>
    <row r="116" spans="1:24" x14ac:dyDescent="0.3">
      <c r="A116" s="940"/>
      <c r="B116" s="940"/>
      <c r="C116" s="940"/>
      <c r="D116" s="940"/>
      <c r="E116" s="940"/>
      <c r="F116" s="940"/>
      <c r="G116" s="940"/>
      <c r="H116" s="940"/>
      <c r="I116" s="940"/>
      <c r="J116" s="940"/>
      <c r="K116" s="940"/>
      <c r="L116" s="940"/>
      <c r="M116" s="940"/>
      <c r="N116" s="940"/>
      <c r="O116" s="940"/>
      <c r="P116" s="940"/>
      <c r="Q116" s="940"/>
      <c r="R116" s="940"/>
      <c r="S116" s="940"/>
      <c r="T116" s="940"/>
      <c r="U116" s="940"/>
      <c r="V116" s="940"/>
      <c r="W116" s="940"/>
      <c r="X116" s="940"/>
    </row>
    <row r="117" spans="1:24" x14ac:dyDescent="0.3">
      <c r="A117" s="940"/>
      <c r="B117" s="940"/>
      <c r="C117" s="939"/>
      <c r="D117" s="940"/>
      <c r="E117" s="940"/>
      <c r="F117" s="940"/>
      <c r="G117" s="940"/>
      <c r="H117" s="940"/>
      <c r="I117" s="940"/>
      <c r="J117" s="940"/>
      <c r="K117" s="940"/>
      <c r="L117" s="940"/>
      <c r="M117" s="940"/>
      <c r="N117" s="940"/>
      <c r="O117" s="940"/>
      <c r="P117" s="940"/>
      <c r="Q117" s="940"/>
      <c r="R117" s="940"/>
      <c r="S117" s="940"/>
      <c r="T117" s="940"/>
      <c r="U117" s="940"/>
      <c r="V117" s="940"/>
      <c r="W117" s="940"/>
      <c r="X117" s="940"/>
    </row>
    <row r="118" spans="1:24" x14ac:dyDescent="0.3">
      <c r="A118" s="940"/>
      <c r="B118" s="940"/>
      <c r="C118" s="939"/>
      <c r="D118" s="940"/>
      <c r="E118" s="940"/>
      <c r="F118" s="940"/>
      <c r="G118" s="940"/>
      <c r="H118" s="940"/>
      <c r="I118" s="940"/>
      <c r="J118" s="940"/>
      <c r="K118" s="940"/>
      <c r="L118" s="940"/>
      <c r="M118" s="940"/>
      <c r="N118" s="940"/>
      <c r="O118" s="940"/>
      <c r="P118" s="940"/>
      <c r="Q118" s="940"/>
      <c r="R118" s="940"/>
      <c r="S118" s="940"/>
      <c r="T118" s="940"/>
      <c r="U118" s="940"/>
      <c r="V118" s="940"/>
      <c r="W118" s="940"/>
      <c r="X118" s="940"/>
    </row>
    <row r="119" spans="1:24" x14ac:dyDescent="0.3">
      <c r="A119" s="940"/>
      <c r="B119" s="940"/>
      <c r="C119" s="940"/>
      <c r="D119" s="940"/>
      <c r="E119" s="940"/>
      <c r="F119" s="940"/>
      <c r="G119" s="940"/>
      <c r="H119" s="940"/>
      <c r="I119" s="940"/>
      <c r="J119" s="940"/>
      <c r="K119" s="940"/>
      <c r="L119" s="940"/>
      <c r="M119" s="940"/>
      <c r="N119" s="940"/>
      <c r="O119" s="940"/>
      <c r="P119" s="940"/>
      <c r="Q119" s="940"/>
      <c r="R119" s="940"/>
      <c r="S119" s="940"/>
      <c r="T119" s="940"/>
      <c r="U119" s="940"/>
      <c r="V119" s="940"/>
      <c r="W119" s="940"/>
      <c r="X119" s="940"/>
    </row>
    <row r="120" spans="1:24" x14ac:dyDescent="0.3">
      <c r="A120" s="940"/>
      <c r="B120" s="940"/>
      <c r="C120" s="940"/>
      <c r="D120" s="940"/>
      <c r="E120" s="940"/>
      <c r="F120" s="940"/>
      <c r="G120" s="940"/>
      <c r="H120" s="940"/>
      <c r="I120" s="940"/>
      <c r="J120" s="940"/>
      <c r="K120" s="940"/>
      <c r="L120" s="940"/>
      <c r="M120" s="940"/>
      <c r="N120" s="940"/>
      <c r="O120" s="940"/>
      <c r="P120" s="940"/>
      <c r="Q120" s="940"/>
      <c r="R120" s="940"/>
      <c r="S120" s="940"/>
      <c r="T120" s="940"/>
      <c r="U120" s="940"/>
      <c r="V120" s="940"/>
      <c r="W120" s="940"/>
      <c r="X120" s="940"/>
    </row>
    <row r="121" spans="1:24" x14ac:dyDescent="0.3">
      <c r="A121" s="940"/>
      <c r="B121" s="940"/>
      <c r="C121" s="940"/>
      <c r="D121" s="940"/>
      <c r="E121" s="940"/>
      <c r="F121" s="940"/>
      <c r="G121" s="940"/>
      <c r="H121" s="940"/>
      <c r="I121" s="940"/>
      <c r="J121" s="940"/>
      <c r="K121" s="940"/>
      <c r="L121" s="940"/>
      <c r="M121" s="940"/>
      <c r="N121" s="940"/>
      <c r="O121" s="940"/>
      <c r="P121" s="940"/>
      <c r="Q121" s="940"/>
      <c r="R121" s="940"/>
      <c r="S121" s="940"/>
      <c r="T121" s="940"/>
      <c r="U121" s="940"/>
      <c r="V121" s="940"/>
      <c r="W121" s="940"/>
      <c r="X121" s="940"/>
    </row>
    <row r="122" spans="1:24" x14ac:dyDescent="0.3">
      <c r="A122" s="940"/>
      <c r="B122" s="941"/>
      <c r="C122" s="940"/>
      <c r="D122" s="940"/>
      <c r="E122" s="940"/>
      <c r="F122" s="940"/>
      <c r="G122" s="940"/>
      <c r="H122" s="940"/>
      <c r="I122" s="940"/>
      <c r="J122" s="940"/>
      <c r="K122" s="940"/>
      <c r="L122" s="940"/>
      <c r="M122" s="940"/>
      <c r="N122" s="940"/>
      <c r="O122" s="940"/>
      <c r="P122" s="940"/>
      <c r="Q122" s="940"/>
      <c r="R122" s="940"/>
      <c r="S122" s="940"/>
      <c r="T122" s="940"/>
      <c r="U122" s="940"/>
      <c r="V122" s="940"/>
      <c r="W122" s="940"/>
      <c r="X122" s="940"/>
    </row>
    <row r="123" spans="1:24" x14ac:dyDescent="0.3">
      <c r="A123" s="940"/>
      <c r="B123" s="940"/>
      <c r="C123" s="940"/>
      <c r="D123" s="940"/>
      <c r="E123" s="940"/>
      <c r="F123" s="940"/>
      <c r="G123" s="940"/>
      <c r="H123" s="940"/>
      <c r="I123" s="940"/>
      <c r="J123" s="940"/>
      <c r="K123" s="940"/>
      <c r="L123" s="940"/>
      <c r="M123" s="940"/>
      <c r="N123" s="940"/>
      <c r="O123" s="940"/>
      <c r="P123" s="940"/>
      <c r="Q123" s="940"/>
      <c r="R123" s="940"/>
      <c r="S123" s="940"/>
      <c r="T123" s="940"/>
      <c r="U123" s="940"/>
      <c r="V123" s="940"/>
      <c r="W123" s="940"/>
      <c r="X123" s="940"/>
    </row>
    <row r="124" spans="1:24" ht="14.15" customHeight="1" x14ac:dyDescent="0.3">
      <c r="A124" s="940"/>
      <c r="B124" s="940"/>
      <c r="C124" s="940"/>
      <c r="D124" s="940"/>
      <c r="E124" s="940"/>
      <c r="F124" s="940"/>
      <c r="G124" s="940"/>
      <c r="H124" s="940"/>
      <c r="I124" s="940"/>
      <c r="J124" s="940"/>
      <c r="K124" s="940"/>
      <c r="L124" s="940"/>
      <c r="M124" s="940"/>
      <c r="N124" s="940"/>
      <c r="O124" s="940"/>
      <c r="P124" s="940"/>
      <c r="Q124" s="940"/>
      <c r="R124" s="940"/>
      <c r="S124" s="940"/>
      <c r="T124" s="940"/>
      <c r="U124" s="940"/>
      <c r="V124" s="940"/>
      <c r="W124" s="940"/>
      <c r="X124" s="940"/>
    </row>
    <row r="125" spans="1:24" x14ac:dyDescent="0.3">
      <c r="A125" s="940"/>
      <c r="B125" s="940"/>
      <c r="C125" s="940"/>
      <c r="D125" s="940"/>
      <c r="E125" s="940"/>
      <c r="F125" s="940"/>
      <c r="G125" s="940"/>
      <c r="H125" s="940"/>
      <c r="I125" s="940"/>
      <c r="J125" s="940"/>
      <c r="K125" s="940"/>
      <c r="L125" s="940"/>
      <c r="M125" s="940"/>
      <c r="N125" s="940"/>
      <c r="O125" s="940"/>
      <c r="P125" s="940"/>
      <c r="Q125" s="940"/>
      <c r="R125" s="940"/>
      <c r="S125" s="940"/>
      <c r="T125" s="940"/>
      <c r="U125" s="940"/>
      <c r="V125" s="940"/>
      <c r="W125" s="940"/>
      <c r="X125" s="940"/>
    </row>
    <row r="126" spans="1:24" x14ac:dyDescent="0.3">
      <c r="A126" s="940"/>
      <c r="B126" s="940"/>
      <c r="C126" s="942"/>
      <c r="D126" s="942"/>
      <c r="E126" s="942"/>
      <c r="F126" s="942"/>
      <c r="G126" s="943"/>
      <c r="H126" s="940"/>
      <c r="I126" s="940"/>
      <c r="J126" s="940"/>
      <c r="K126" s="940"/>
      <c r="L126" s="940"/>
      <c r="M126" s="940"/>
      <c r="N126" s="940"/>
      <c r="O126" s="940"/>
      <c r="P126" s="940"/>
      <c r="Q126" s="940"/>
      <c r="R126" s="940"/>
      <c r="S126" s="940"/>
      <c r="T126" s="940"/>
      <c r="U126" s="940"/>
      <c r="V126" s="940"/>
      <c r="W126" s="940"/>
      <c r="X126" s="940"/>
    </row>
    <row r="127" spans="1:24" x14ac:dyDescent="0.3">
      <c r="A127" s="940"/>
      <c r="B127" s="940"/>
      <c r="C127" s="944"/>
      <c r="D127" s="945"/>
      <c r="E127" s="945"/>
      <c r="F127" s="945"/>
      <c r="G127" s="946"/>
      <c r="H127" s="940"/>
      <c r="I127" s="940"/>
      <c r="J127" s="940"/>
      <c r="K127" s="940"/>
      <c r="L127" s="940"/>
      <c r="M127" s="940"/>
      <c r="N127" s="940"/>
      <c r="O127" s="940"/>
      <c r="P127" s="940"/>
      <c r="Q127" s="940"/>
      <c r="R127" s="940"/>
      <c r="S127" s="940"/>
      <c r="T127" s="940"/>
      <c r="U127" s="940"/>
      <c r="V127" s="940"/>
      <c r="W127" s="940"/>
      <c r="X127" s="940"/>
    </row>
    <row r="128" spans="1:24" x14ac:dyDescent="0.3">
      <c r="A128" s="940"/>
      <c r="B128" s="940"/>
      <c r="C128" s="944"/>
      <c r="D128" s="945"/>
      <c r="E128" s="945"/>
      <c r="F128" s="945"/>
      <c r="G128" s="946"/>
      <c r="H128" s="940"/>
      <c r="I128" s="940"/>
      <c r="J128" s="940"/>
      <c r="K128" s="940"/>
      <c r="L128" s="940"/>
      <c r="M128" s="940"/>
      <c r="N128" s="940"/>
      <c r="O128" s="940"/>
      <c r="P128" s="940"/>
      <c r="Q128" s="940"/>
      <c r="R128" s="940"/>
      <c r="S128" s="940"/>
      <c r="T128" s="940"/>
      <c r="U128" s="940"/>
      <c r="V128" s="940"/>
      <c r="W128" s="940"/>
      <c r="X128" s="940"/>
    </row>
    <row r="129" spans="1:24" x14ac:dyDescent="0.3">
      <c r="A129" s="940"/>
      <c r="B129" s="940"/>
      <c r="C129" s="944"/>
      <c r="D129" s="945"/>
      <c r="E129" s="945"/>
      <c r="F129" s="945"/>
      <c r="G129" s="946"/>
      <c r="H129" s="940"/>
      <c r="I129" s="940"/>
      <c r="J129" s="940"/>
      <c r="K129" s="940"/>
      <c r="L129" s="940"/>
      <c r="M129" s="940"/>
      <c r="N129" s="940"/>
      <c r="O129" s="940"/>
      <c r="P129" s="940"/>
      <c r="Q129" s="940"/>
      <c r="R129" s="940"/>
      <c r="S129" s="940"/>
      <c r="T129" s="940"/>
      <c r="U129" s="940"/>
      <c r="V129" s="940"/>
      <c r="W129" s="940"/>
      <c r="X129" s="940"/>
    </row>
    <row r="130" spans="1:24" x14ac:dyDescent="0.3">
      <c r="A130" s="940"/>
      <c r="B130" s="940"/>
      <c r="C130" s="944"/>
      <c r="D130" s="945"/>
      <c r="E130" s="945"/>
      <c r="F130" s="945"/>
      <c r="G130" s="946"/>
      <c r="H130" s="940"/>
      <c r="I130" s="940"/>
      <c r="J130" s="940"/>
      <c r="K130" s="940"/>
      <c r="L130" s="940"/>
      <c r="M130" s="940"/>
      <c r="N130" s="940"/>
      <c r="O130" s="940"/>
      <c r="P130" s="940"/>
      <c r="Q130" s="940"/>
      <c r="R130" s="940"/>
      <c r="S130" s="940"/>
      <c r="T130" s="940"/>
      <c r="U130" s="940"/>
      <c r="V130" s="940"/>
      <c r="W130" s="940"/>
      <c r="X130" s="940"/>
    </row>
    <row r="131" spans="1:24" x14ac:dyDescent="0.3">
      <c r="A131" s="940"/>
      <c r="B131" s="940"/>
      <c r="C131" s="944"/>
      <c r="D131" s="945"/>
      <c r="E131" s="945"/>
      <c r="F131" s="945"/>
      <c r="G131" s="946"/>
      <c r="H131" s="940"/>
      <c r="I131" s="940"/>
      <c r="J131" s="940"/>
      <c r="K131" s="940"/>
      <c r="L131" s="940"/>
      <c r="M131" s="940"/>
      <c r="N131" s="940"/>
      <c r="O131" s="940"/>
      <c r="P131" s="940"/>
      <c r="Q131" s="940"/>
      <c r="R131" s="940"/>
      <c r="S131" s="940"/>
      <c r="T131" s="940"/>
      <c r="U131" s="940"/>
      <c r="V131" s="940"/>
      <c r="W131" s="940"/>
      <c r="X131" s="940"/>
    </row>
    <row r="132" spans="1:24" x14ac:dyDescent="0.3">
      <c r="A132" s="940"/>
      <c r="B132" s="940"/>
      <c r="C132" s="944"/>
      <c r="D132" s="945"/>
      <c r="E132" s="945"/>
      <c r="F132" s="945"/>
      <c r="G132" s="945"/>
      <c r="H132" s="940"/>
      <c r="I132" s="940"/>
      <c r="J132" s="940"/>
      <c r="K132" s="940"/>
      <c r="L132" s="940"/>
      <c r="M132" s="940"/>
      <c r="N132" s="940"/>
      <c r="O132" s="940"/>
      <c r="P132" s="940"/>
      <c r="Q132" s="940"/>
      <c r="R132" s="940"/>
      <c r="S132" s="940"/>
      <c r="T132" s="940"/>
      <c r="U132" s="940"/>
      <c r="V132" s="940"/>
      <c r="W132" s="940"/>
      <c r="X132" s="940"/>
    </row>
    <row r="133" spans="1:24" x14ac:dyDescent="0.3">
      <c r="A133" s="940"/>
      <c r="B133" s="940"/>
      <c r="C133" s="940"/>
      <c r="D133" s="940"/>
      <c r="E133" s="940"/>
      <c r="F133" s="940"/>
      <c r="G133" s="940"/>
      <c r="H133" s="940"/>
      <c r="I133" s="940"/>
      <c r="J133" s="940"/>
      <c r="K133" s="940"/>
      <c r="L133" s="940"/>
      <c r="M133" s="940"/>
      <c r="N133" s="940"/>
      <c r="O133" s="940"/>
      <c r="P133" s="940"/>
      <c r="Q133" s="940"/>
      <c r="R133" s="940"/>
      <c r="S133" s="940"/>
      <c r="T133" s="940"/>
      <c r="U133" s="940"/>
      <c r="V133" s="940"/>
      <c r="W133" s="940"/>
      <c r="X133" s="940"/>
    </row>
    <row r="134" spans="1:24" x14ac:dyDescent="0.3">
      <c r="A134" s="940"/>
      <c r="B134" s="940"/>
      <c r="C134" s="942"/>
      <c r="D134" s="942"/>
      <c r="E134" s="942"/>
      <c r="F134" s="942"/>
      <c r="G134" s="942"/>
      <c r="H134" s="940"/>
      <c r="I134" s="940"/>
      <c r="J134" s="940"/>
      <c r="K134" s="940"/>
      <c r="L134" s="940"/>
      <c r="M134" s="940"/>
      <c r="N134" s="940"/>
      <c r="O134" s="940"/>
      <c r="P134" s="940"/>
      <c r="Q134" s="940"/>
      <c r="R134" s="940"/>
      <c r="S134" s="940"/>
      <c r="T134" s="940"/>
      <c r="U134" s="940"/>
      <c r="V134" s="940"/>
      <c r="W134" s="940"/>
      <c r="X134" s="940"/>
    </row>
    <row r="135" spans="1:24" x14ac:dyDescent="0.3">
      <c r="A135" s="940"/>
      <c r="B135" s="940"/>
      <c r="C135" s="940"/>
      <c r="D135" s="938"/>
      <c r="E135" s="938"/>
      <c r="F135" s="938"/>
      <c r="G135" s="938"/>
      <c r="H135" s="940"/>
      <c r="I135" s="940"/>
      <c r="J135" s="940"/>
      <c r="K135" s="940"/>
      <c r="L135" s="940"/>
      <c r="M135" s="940"/>
      <c r="N135" s="940"/>
      <c r="O135" s="940"/>
      <c r="P135" s="940"/>
      <c r="Q135" s="940"/>
      <c r="R135" s="940"/>
      <c r="S135" s="940"/>
      <c r="T135" s="940"/>
      <c r="U135" s="940"/>
      <c r="V135" s="940"/>
      <c r="W135" s="940"/>
      <c r="X135" s="940"/>
    </row>
    <row r="136" spans="1:24" x14ac:dyDescent="0.3">
      <c r="A136" s="940"/>
      <c r="B136" s="940"/>
      <c r="C136" s="940"/>
      <c r="D136" s="938"/>
      <c r="E136" s="938"/>
      <c r="F136" s="938"/>
      <c r="G136" s="938"/>
      <c r="H136" s="940"/>
      <c r="I136" s="940"/>
      <c r="J136" s="940"/>
      <c r="K136" s="940"/>
      <c r="L136" s="940"/>
      <c r="M136" s="940"/>
      <c r="N136" s="940"/>
      <c r="O136" s="940"/>
      <c r="P136" s="940"/>
      <c r="Q136" s="940"/>
      <c r="R136" s="940"/>
      <c r="S136" s="940"/>
      <c r="T136" s="940"/>
      <c r="U136" s="940"/>
      <c r="V136" s="940"/>
      <c r="W136" s="940"/>
      <c r="X136" s="940"/>
    </row>
    <row r="137" spans="1:24" x14ac:dyDescent="0.3">
      <c r="A137" s="940"/>
      <c r="B137" s="940"/>
      <c r="C137" s="940"/>
      <c r="D137" s="938"/>
      <c r="E137" s="938"/>
      <c r="F137" s="938"/>
      <c r="G137" s="938"/>
      <c r="H137" s="940"/>
      <c r="I137" s="940"/>
      <c r="J137" s="940"/>
      <c r="K137" s="940"/>
      <c r="L137" s="940"/>
      <c r="M137" s="940"/>
      <c r="N137" s="940"/>
      <c r="O137" s="940"/>
      <c r="P137" s="940"/>
      <c r="Q137" s="940"/>
      <c r="R137" s="940"/>
      <c r="S137" s="940"/>
      <c r="T137" s="940"/>
      <c r="U137" s="940"/>
      <c r="V137" s="940"/>
      <c r="W137" s="940"/>
      <c r="X137" s="940"/>
    </row>
    <row r="138" spans="1:24" x14ac:dyDescent="0.3">
      <c r="A138" s="940"/>
      <c r="B138" s="940"/>
      <c r="C138" s="940"/>
      <c r="D138" s="938"/>
      <c r="E138" s="938"/>
      <c r="F138" s="938"/>
      <c r="G138" s="938"/>
      <c r="H138" s="940"/>
      <c r="I138" s="940"/>
      <c r="J138" s="940"/>
      <c r="K138" s="940"/>
      <c r="L138" s="940"/>
      <c r="M138" s="940"/>
      <c r="N138" s="940"/>
      <c r="O138" s="940"/>
      <c r="P138" s="940"/>
      <c r="Q138" s="940"/>
      <c r="R138" s="940"/>
      <c r="S138" s="940"/>
      <c r="T138" s="940"/>
      <c r="U138" s="940"/>
      <c r="V138" s="940"/>
      <c r="W138" s="940"/>
      <c r="X138" s="940"/>
    </row>
    <row r="139" spans="1:24" x14ac:dyDescent="0.3">
      <c r="A139" s="940"/>
      <c r="B139" s="940"/>
      <c r="C139" s="940"/>
      <c r="D139" s="938"/>
      <c r="E139" s="938"/>
      <c r="F139" s="938"/>
      <c r="G139" s="938"/>
      <c r="H139" s="940"/>
      <c r="I139" s="940"/>
      <c r="J139" s="940"/>
      <c r="K139" s="940"/>
      <c r="L139" s="940"/>
      <c r="M139" s="940"/>
      <c r="N139" s="940"/>
      <c r="O139" s="940"/>
      <c r="P139" s="940"/>
      <c r="Q139" s="940"/>
      <c r="R139" s="940"/>
      <c r="S139" s="940"/>
      <c r="T139" s="940"/>
      <c r="U139" s="940"/>
      <c r="V139" s="940"/>
      <c r="W139" s="940"/>
      <c r="X139" s="940"/>
    </row>
    <row r="140" spans="1:24" x14ac:dyDescent="0.3">
      <c r="A140" s="940"/>
      <c r="B140" s="940"/>
      <c r="C140" s="940"/>
      <c r="D140" s="938"/>
      <c r="E140" s="938"/>
      <c r="F140" s="938"/>
      <c r="G140" s="938"/>
      <c r="H140" s="940"/>
      <c r="I140" s="940"/>
      <c r="J140" s="940"/>
      <c r="K140" s="940"/>
      <c r="L140" s="940"/>
      <c r="M140" s="940"/>
      <c r="N140" s="940"/>
      <c r="O140" s="940"/>
      <c r="P140" s="940"/>
      <c r="Q140" s="940"/>
      <c r="R140" s="940"/>
      <c r="S140" s="940"/>
      <c r="T140" s="940"/>
      <c r="U140" s="940"/>
      <c r="V140" s="940"/>
      <c r="W140" s="940"/>
      <c r="X140" s="940"/>
    </row>
    <row r="141" spans="1:24" x14ac:dyDescent="0.3">
      <c r="A141" s="940"/>
      <c r="B141" s="940"/>
      <c r="C141" s="940"/>
      <c r="D141" s="940"/>
      <c r="E141" s="940"/>
      <c r="F141" s="940"/>
      <c r="G141" s="940"/>
      <c r="H141" s="940"/>
      <c r="I141" s="940"/>
      <c r="J141" s="940"/>
      <c r="K141" s="940"/>
      <c r="L141" s="940"/>
      <c r="M141" s="940"/>
      <c r="N141" s="940"/>
      <c r="O141" s="940"/>
      <c r="P141" s="940"/>
      <c r="Q141" s="940"/>
      <c r="R141" s="940"/>
      <c r="S141" s="940"/>
      <c r="T141" s="940"/>
      <c r="U141" s="940"/>
      <c r="V141" s="940"/>
      <c r="W141" s="940"/>
      <c r="X141" s="940"/>
    </row>
    <row r="142" spans="1:24" x14ac:dyDescent="0.3">
      <c r="A142" s="940"/>
      <c r="B142" s="940"/>
      <c r="C142" s="947"/>
      <c r="D142" s="940"/>
      <c r="E142" s="940"/>
      <c r="F142" s="940"/>
      <c r="G142" s="940"/>
      <c r="H142" s="940"/>
      <c r="I142" s="940"/>
      <c r="J142" s="940"/>
      <c r="K142" s="940"/>
      <c r="L142" s="940"/>
      <c r="M142" s="940"/>
      <c r="N142" s="940"/>
      <c r="O142" s="940"/>
      <c r="P142" s="940"/>
      <c r="Q142" s="940"/>
      <c r="R142" s="940"/>
      <c r="S142" s="940"/>
      <c r="T142" s="940"/>
      <c r="U142" s="940"/>
      <c r="V142" s="940"/>
      <c r="W142" s="940"/>
      <c r="X142" s="940"/>
    </row>
    <row r="143" spans="1:24" x14ac:dyDescent="0.3">
      <c r="A143" s="940"/>
      <c r="B143" s="940"/>
      <c r="C143" s="944"/>
      <c r="D143" s="944"/>
      <c r="E143" s="948"/>
      <c r="F143" s="948"/>
      <c r="G143" s="940"/>
      <c r="H143" s="940"/>
      <c r="I143" s="940"/>
      <c r="J143" s="940"/>
      <c r="K143" s="940"/>
      <c r="L143" s="940"/>
      <c r="M143" s="940"/>
      <c r="N143" s="940"/>
      <c r="O143" s="940"/>
      <c r="P143" s="940"/>
      <c r="Q143" s="940"/>
      <c r="R143" s="940"/>
      <c r="S143" s="940"/>
      <c r="T143" s="940"/>
      <c r="U143" s="940"/>
      <c r="V143" s="940"/>
      <c r="W143" s="940"/>
      <c r="X143" s="940"/>
    </row>
    <row r="144" spans="1:24" x14ac:dyDescent="0.3">
      <c r="A144" s="940"/>
      <c r="B144" s="940"/>
      <c r="C144" s="944"/>
      <c r="D144" s="944"/>
      <c r="E144" s="948"/>
      <c r="F144" s="948"/>
      <c r="G144" s="940"/>
      <c r="H144" s="940"/>
      <c r="I144" s="940"/>
      <c r="J144" s="940"/>
      <c r="K144" s="940"/>
      <c r="L144" s="949"/>
      <c r="M144" s="950"/>
      <c r="N144" s="950"/>
      <c r="O144" s="950"/>
      <c r="P144" s="950"/>
      <c r="Q144" s="950"/>
      <c r="R144" s="940"/>
      <c r="S144" s="940"/>
      <c r="T144" s="940"/>
      <c r="U144" s="940"/>
      <c r="V144" s="940"/>
      <c r="W144" s="940"/>
      <c r="X144" s="940"/>
    </row>
    <row r="145" spans="1:24" x14ac:dyDescent="0.3">
      <c r="A145" s="940"/>
      <c r="B145" s="940"/>
      <c r="C145" s="951"/>
      <c r="D145" s="944"/>
      <c r="E145" s="948"/>
      <c r="F145" s="952"/>
      <c r="G145" s="940"/>
      <c r="H145" s="940"/>
      <c r="I145" s="940"/>
      <c r="J145" s="940"/>
      <c r="K145" s="940"/>
      <c r="L145" s="949"/>
      <c r="M145" s="950"/>
      <c r="N145" s="950"/>
      <c r="O145" s="950"/>
      <c r="P145" s="950"/>
      <c r="Q145" s="950"/>
      <c r="R145" s="940"/>
      <c r="S145" s="940"/>
      <c r="T145" s="940"/>
      <c r="U145" s="940"/>
      <c r="V145" s="940"/>
      <c r="W145" s="940"/>
      <c r="X145" s="940"/>
    </row>
    <row r="146" spans="1:24" x14ac:dyDescent="0.3">
      <c r="A146" s="940"/>
      <c r="B146" s="940"/>
      <c r="C146" s="951"/>
      <c r="D146" s="944"/>
      <c r="E146" s="948"/>
      <c r="F146" s="952"/>
      <c r="G146" s="940"/>
      <c r="H146" s="940"/>
      <c r="I146" s="940"/>
      <c r="J146" s="940"/>
      <c r="K146" s="940"/>
      <c r="L146" s="949"/>
      <c r="M146" s="950"/>
      <c r="N146" s="950"/>
      <c r="O146" s="950"/>
      <c r="P146" s="950"/>
      <c r="Q146" s="950"/>
      <c r="R146" s="940"/>
      <c r="S146" s="940"/>
      <c r="T146" s="940"/>
      <c r="U146" s="940"/>
      <c r="V146" s="940"/>
      <c r="W146" s="940"/>
      <c r="X146" s="940"/>
    </row>
    <row r="147" spans="1:24" x14ac:dyDescent="0.3">
      <c r="A147" s="940"/>
      <c r="B147" s="940"/>
      <c r="C147" s="951"/>
      <c r="D147" s="944"/>
      <c r="E147" s="952"/>
      <c r="F147" s="952"/>
      <c r="G147" s="940"/>
      <c r="H147" s="940"/>
      <c r="I147" s="940"/>
      <c r="J147" s="940"/>
      <c r="K147" s="940"/>
      <c r="L147" s="949"/>
      <c r="M147" s="950"/>
      <c r="N147" s="950"/>
      <c r="O147" s="950"/>
      <c r="P147" s="950"/>
      <c r="Q147" s="950"/>
      <c r="R147" s="940"/>
      <c r="S147" s="940"/>
      <c r="T147" s="940"/>
      <c r="U147" s="940"/>
      <c r="V147" s="940"/>
      <c r="W147" s="940"/>
      <c r="X147" s="940"/>
    </row>
    <row r="148" spans="1:24" x14ac:dyDescent="0.3">
      <c r="A148" s="940"/>
      <c r="B148" s="940"/>
      <c r="C148" s="951"/>
      <c r="D148" s="944"/>
      <c r="E148" s="952"/>
      <c r="F148" s="952"/>
      <c r="G148" s="940"/>
      <c r="H148" s="940"/>
      <c r="I148" s="940"/>
      <c r="J148" s="940"/>
      <c r="K148" s="940"/>
      <c r="L148" s="949"/>
      <c r="M148" s="950"/>
      <c r="N148" s="950"/>
      <c r="O148" s="950"/>
      <c r="P148" s="950"/>
      <c r="Q148" s="950"/>
      <c r="R148" s="940"/>
      <c r="S148" s="940"/>
      <c r="T148" s="940"/>
      <c r="U148" s="940"/>
      <c r="V148" s="940"/>
      <c r="W148" s="940"/>
      <c r="X148" s="940"/>
    </row>
    <row r="149" spans="1:24" x14ac:dyDescent="0.3">
      <c r="A149" s="940"/>
      <c r="B149" s="940"/>
      <c r="C149" s="951"/>
      <c r="D149" s="944"/>
      <c r="E149" s="952"/>
      <c r="F149" s="952"/>
      <c r="G149" s="940"/>
      <c r="H149" s="940"/>
      <c r="I149" s="940"/>
      <c r="J149" s="940"/>
      <c r="K149" s="940"/>
      <c r="L149" s="950"/>
      <c r="M149" s="950"/>
      <c r="N149" s="950"/>
      <c r="O149" s="950"/>
      <c r="P149" s="950"/>
      <c r="Q149" s="950"/>
      <c r="R149" s="940"/>
      <c r="S149" s="940"/>
      <c r="T149" s="940"/>
      <c r="U149" s="940"/>
      <c r="V149" s="940"/>
      <c r="W149" s="940"/>
      <c r="X149" s="940"/>
    </row>
    <row r="150" spans="1:24" x14ac:dyDescent="0.3">
      <c r="A150" s="940"/>
      <c r="B150" s="940"/>
      <c r="C150" s="946"/>
      <c r="D150" s="944"/>
      <c r="E150" s="952"/>
      <c r="F150" s="952"/>
      <c r="G150" s="940"/>
      <c r="H150" s="940"/>
      <c r="I150" s="940"/>
      <c r="J150" s="940"/>
      <c r="K150" s="940"/>
      <c r="L150" s="940"/>
      <c r="M150" s="940"/>
      <c r="N150" s="940"/>
      <c r="O150" s="940"/>
      <c r="P150" s="940"/>
      <c r="Q150" s="940"/>
      <c r="R150" s="940"/>
      <c r="S150" s="940"/>
      <c r="T150" s="940"/>
      <c r="U150" s="940"/>
      <c r="V150" s="940"/>
      <c r="W150" s="940"/>
      <c r="X150" s="940"/>
    </row>
    <row r="151" spans="1:24" x14ac:dyDescent="0.3">
      <c r="A151" s="940"/>
      <c r="B151" s="940"/>
      <c r="C151" s="940"/>
      <c r="D151" s="940"/>
      <c r="E151" s="940"/>
      <c r="F151" s="940"/>
      <c r="G151" s="940"/>
      <c r="H151" s="940"/>
      <c r="I151" s="940"/>
      <c r="J151" s="940"/>
      <c r="K151" s="940"/>
      <c r="L151" s="940"/>
      <c r="M151" s="940"/>
      <c r="N151" s="940"/>
      <c r="O151" s="940"/>
      <c r="P151" s="940"/>
      <c r="Q151" s="940"/>
      <c r="R151" s="940"/>
      <c r="S151" s="940"/>
      <c r="T151" s="940"/>
      <c r="U151" s="940"/>
      <c r="V151" s="940"/>
      <c r="W151" s="940"/>
      <c r="X151" s="940"/>
    </row>
    <row r="152" spans="1:24" x14ac:dyDescent="0.3">
      <c r="A152" s="940"/>
      <c r="B152" s="940"/>
      <c r="C152" s="947"/>
      <c r="D152" s="940"/>
      <c r="E152" s="940"/>
      <c r="F152" s="940"/>
      <c r="G152" s="940"/>
      <c r="H152" s="940"/>
      <c r="I152" s="940"/>
      <c r="J152" s="940"/>
      <c r="K152" s="940"/>
      <c r="L152" s="953"/>
      <c r="M152" s="940"/>
      <c r="N152" s="940"/>
      <c r="O152" s="940"/>
      <c r="P152" s="940"/>
      <c r="Q152" s="940"/>
      <c r="R152" s="940"/>
      <c r="S152" s="940"/>
      <c r="T152" s="940"/>
      <c r="U152" s="940"/>
      <c r="V152" s="940"/>
      <c r="W152" s="940"/>
      <c r="X152" s="940"/>
    </row>
    <row r="153" spans="1:24" x14ac:dyDescent="0.3">
      <c r="A153" s="940"/>
      <c r="B153" s="940"/>
      <c r="C153" s="944"/>
      <c r="D153" s="944"/>
      <c r="E153" s="948"/>
      <c r="F153" s="948"/>
      <c r="G153" s="940"/>
      <c r="H153" s="940"/>
      <c r="I153" s="940"/>
      <c r="J153" s="940"/>
      <c r="K153" s="940"/>
      <c r="L153" s="948"/>
      <c r="M153" s="948"/>
      <c r="N153" s="948"/>
      <c r="O153" s="948"/>
      <c r="P153" s="948"/>
      <c r="Q153" s="948"/>
      <c r="R153" s="940"/>
      <c r="S153" s="940"/>
      <c r="T153" s="940"/>
      <c r="U153" s="940"/>
      <c r="V153" s="940"/>
      <c r="W153" s="940"/>
      <c r="X153" s="940"/>
    </row>
    <row r="154" spans="1:24" x14ac:dyDescent="0.3">
      <c r="A154" s="940"/>
      <c r="B154" s="940"/>
      <c r="C154" s="944"/>
      <c r="D154" s="944"/>
      <c r="E154" s="948"/>
      <c r="F154" s="948"/>
      <c r="G154" s="940"/>
      <c r="H154" s="940"/>
      <c r="I154" s="940"/>
      <c r="J154" s="940"/>
      <c r="K154" s="940"/>
      <c r="L154" s="948"/>
      <c r="M154" s="950"/>
      <c r="N154" s="950"/>
      <c r="O154" s="948"/>
      <c r="P154" s="948"/>
      <c r="Q154" s="950"/>
      <c r="R154" s="940"/>
      <c r="S154" s="940"/>
      <c r="T154" s="940"/>
      <c r="U154" s="940"/>
      <c r="V154" s="940"/>
      <c r="W154" s="940"/>
      <c r="X154" s="940"/>
    </row>
    <row r="155" spans="1:24" x14ac:dyDescent="0.3">
      <c r="A155" s="940"/>
      <c r="B155" s="940"/>
      <c r="C155" s="944"/>
      <c r="D155" s="944"/>
      <c r="E155" s="948"/>
      <c r="F155" s="952"/>
      <c r="G155" s="940"/>
      <c r="H155" s="940"/>
      <c r="I155" s="940"/>
      <c r="J155" s="940"/>
      <c r="K155" s="940"/>
      <c r="L155" s="950"/>
      <c r="M155" s="950"/>
      <c r="N155" s="950"/>
      <c r="O155" s="954"/>
      <c r="P155" s="954"/>
      <c r="Q155" s="950"/>
      <c r="R155" s="940"/>
      <c r="S155" s="940"/>
      <c r="T155" s="940"/>
      <c r="U155" s="940"/>
      <c r="V155" s="940"/>
      <c r="W155" s="940"/>
      <c r="X155" s="940"/>
    </row>
    <row r="156" spans="1:24" x14ac:dyDescent="0.3">
      <c r="A156" s="940"/>
      <c r="B156" s="940"/>
      <c r="C156" s="944"/>
      <c r="D156" s="944"/>
      <c r="E156" s="948"/>
      <c r="F156" s="948"/>
      <c r="G156" s="940"/>
      <c r="H156" s="940"/>
      <c r="I156" s="940"/>
      <c r="J156" s="940"/>
      <c r="K156" s="940"/>
      <c r="L156" s="955"/>
      <c r="M156" s="955"/>
      <c r="N156" s="955"/>
      <c r="O156" s="954"/>
      <c r="P156" s="954"/>
      <c r="Q156" s="955"/>
      <c r="R156" s="940"/>
      <c r="S156" s="940"/>
      <c r="T156" s="940"/>
      <c r="U156" s="940"/>
      <c r="V156" s="940"/>
      <c r="W156" s="940"/>
      <c r="X156" s="940"/>
    </row>
    <row r="157" spans="1:24" x14ac:dyDescent="0.3">
      <c r="A157" s="940"/>
      <c r="B157" s="940"/>
      <c r="C157" s="946"/>
      <c r="D157" s="944"/>
      <c r="E157" s="952"/>
      <c r="F157" s="952"/>
      <c r="G157" s="940"/>
      <c r="H157" s="940"/>
      <c r="I157" s="940"/>
      <c r="J157" s="940"/>
      <c r="K157" s="940"/>
      <c r="L157" s="950"/>
      <c r="M157" s="950"/>
      <c r="N157" s="950"/>
      <c r="O157" s="950"/>
      <c r="P157" s="950"/>
      <c r="Q157" s="950"/>
      <c r="R157" s="940"/>
      <c r="S157" s="940"/>
      <c r="T157" s="940"/>
      <c r="U157" s="940"/>
      <c r="V157" s="940"/>
      <c r="W157" s="940"/>
      <c r="X157" s="940"/>
    </row>
    <row r="158" spans="1:24" x14ac:dyDescent="0.3">
      <c r="A158" s="940"/>
      <c r="B158" s="940"/>
      <c r="C158" s="946"/>
      <c r="D158" s="944"/>
      <c r="E158" s="952"/>
      <c r="F158" s="952"/>
      <c r="G158" s="940"/>
      <c r="H158" s="940"/>
      <c r="I158" s="940"/>
      <c r="J158" s="940"/>
      <c r="K158" s="940"/>
      <c r="L158" s="950"/>
      <c r="M158" s="950"/>
      <c r="N158" s="950"/>
      <c r="O158" s="950"/>
      <c r="P158" s="950"/>
      <c r="Q158" s="950"/>
      <c r="R158" s="940"/>
      <c r="S158" s="940"/>
      <c r="T158" s="940"/>
      <c r="U158" s="940"/>
      <c r="V158" s="940"/>
      <c r="W158" s="940"/>
      <c r="X158" s="940"/>
    </row>
    <row r="159" spans="1:24" x14ac:dyDescent="0.3">
      <c r="A159" s="940"/>
      <c r="B159" s="940"/>
      <c r="C159" s="940"/>
      <c r="D159" s="940"/>
      <c r="E159" s="940"/>
      <c r="F159" s="940"/>
      <c r="G159" s="940"/>
      <c r="H159" s="940"/>
      <c r="I159" s="940"/>
      <c r="J159" s="940"/>
      <c r="K159" s="940"/>
      <c r="L159" s="940"/>
      <c r="M159" s="940"/>
      <c r="N159" s="940"/>
      <c r="O159" s="940"/>
      <c r="P159" s="940"/>
      <c r="Q159" s="940"/>
      <c r="R159" s="940"/>
      <c r="S159" s="940"/>
      <c r="T159" s="940"/>
      <c r="U159" s="940"/>
      <c r="V159" s="940"/>
      <c r="W159" s="940"/>
      <c r="X159" s="940"/>
    </row>
    <row r="160" spans="1:24" x14ac:dyDescent="0.3">
      <c r="A160" s="940"/>
      <c r="B160" s="940"/>
      <c r="C160" s="940"/>
      <c r="D160" s="940"/>
      <c r="E160" s="940"/>
      <c r="F160" s="940"/>
      <c r="G160" s="940"/>
      <c r="H160" s="940"/>
      <c r="I160" s="940"/>
      <c r="J160" s="940"/>
      <c r="K160" s="940"/>
      <c r="L160" s="940"/>
      <c r="M160" s="940"/>
      <c r="N160" s="940"/>
      <c r="O160" s="940"/>
      <c r="P160" s="940"/>
      <c r="Q160" s="940"/>
      <c r="R160" s="940"/>
      <c r="S160" s="940"/>
      <c r="T160" s="940"/>
      <c r="U160" s="940"/>
      <c r="V160" s="940"/>
      <c r="W160" s="940"/>
      <c r="X160" s="940"/>
    </row>
    <row r="161" spans="1:47" x14ac:dyDescent="0.3">
      <c r="A161" s="940"/>
      <c r="B161" s="940"/>
      <c r="C161" s="940"/>
      <c r="D161" s="940"/>
      <c r="E161" s="940"/>
      <c r="F161" s="940"/>
      <c r="G161" s="940"/>
      <c r="H161" s="940"/>
      <c r="I161" s="940"/>
      <c r="J161" s="940"/>
      <c r="K161" s="940"/>
      <c r="L161" s="940"/>
      <c r="M161" s="940"/>
      <c r="N161" s="940"/>
      <c r="O161" s="940"/>
      <c r="P161" s="940"/>
      <c r="Q161" s="940"/>
      <c r="R161" s="940"/>
      <c r="S161" s="940"/>
      <c r="T161" s="940"/>
      <c r="U161" s="940"/>
      <c r="V161" s="940"/>
      <c r="W161" s="940"/>
      <c r="X161" s="940"/>
    </row>
    <row r="162" spans="1:47" x14ac:dyDescent="0.3">
      <c r="A162" s="940"/>
      <c r="B162" s="940"/>
      <c r="C162" s="940"/>
      <c r="D162" s="940"/>
      <c r="E162" s="940"/>
      <c r="F162" s="940"/>
      <c r="G162" s="940"/>
      <c r="H162" s="940"/>
      <c r="I162" s="940"/>
      <c r="J162" s="940"/>
      <c r="K162" s="940"/>
      <c r="L162" s="940"/>
      <c r="M162" s="940"/>
      <c r="N162" s="940"/>
      <c r="O162" s="940"/>
      <c r="P162" s="940"/>
      <c r="Q162" s="940"/>
      <c r="R162" s="940"/>
      <c r="S162" s="940"/>
      <c r="T162" s="940"/>
      <c r="U162" s="940"/>
      <c r="V162" s="940"/>
      <c r="W162" s="940"/>
      <c r="X162" s="940"/>
    </row>
    <row r="163" spans="1:47" x14ac:dyDescent="0.3">
      <c r="A163" s="939"/>
      <c r="B163" s="940"/>
      <c r="C163" s="956"/>
      <c r="D163" s="940"/>
      <c r="E163" s="940"/>
      <c r="F163" s="940"/>
      <c r="G163" s="940"/>
      <c r="H163" s="940"/>
      <c r="I163" s="940"/>
      <c r="J163" s="940"/>
      <c r="K163" s="940"/>
      <c r="L163" s="940"/>
      <c r="M163" s="940"/>
      <c r="N163" s="940"/>
      <c r="O163" s="940"/>
      <c r="P163" s="940"/>
      <c r="Q163" s="940"/>
      <c r="R163" s="940"/>
      <c r="S163" s="940"/>
      <c r="T163" s="940"/>
      <c r="U163" s="940"/>
      <c r="V163" s="940"/>
      <c r="W163" s="940"/>
      <c r="X163" s="940"/>
    </row>
    <row r="164" spans="1:47" x14ac:dyDescent="0.3">
      <c r="A164" s="940"/>
      <c r="B164" s="940"/>
      <c r="C164" s="940"/>
      <c r="D164" s="940"/>
      <c r="E164" s="940"/>
      <c r="F164" s="940"/>
      <c r="G164" s="940"/>
      <c r="H164" s="940"/>
      <c r="I164" s="940"/>
      <c r="J164" s="940"/>
      <c r="K164" s="940"/>
      <c r="L164" s="940"/>
      <c r="M164" s="940"/>
      <c r="N164" s="940"/>
      <c r="O164" s="940"/>
      <c r="P164" s="940"/>
      <c r="Q164" s="940"/>
      <c r="R164" s="940"/>
      <c r="S164" s="940"/>
      <c r="T164" s="940"/>
      <c r="U164" s="940"/>
      <c r="V164" s="940"/>
      <c r="W164" s="940"/>
      <c r="X164" s="940"/>
    </row>
    <row r="165" spans="1:47" x14ac:dyDescent="0.3">
      <c r="A165" s="940"/>
      <c r="B165" s="940"/>
      <c r="C165" s="940"/>
      <c r="D165" s="940"/>
      <c r="E165" s="940"/>
      <c r="F165" s="940"/>
      <c r="G165" s="940"/>
      <c r="H165" s="940"/>
      <c r="I165" s="940"/>
      <c r="J165" s="940"/>
      <c r="K165" s="940"/>
      <c r="L165" s="940"/>
      <c r="M165" s="940"/>
      <c r="N165" s="940"/>
      <c r="O165" s="940"/>
      <c r="P165" s="940"/>
      <c r="Q165" s="940"/>
      <c r="R165" s="940"/>
      <c r="S165" s="940"/>
      <c r="T165" s="940"/>
      <c r="U165" s="940"/>
      <c r="V165" s="940"/>
      <c r="W165" s="940"/>
      <c r="X165" s="940"/>
    </row>
    <row r="166" spans="1:47" x14ac:dyDescent="0.3">
      <c r="A166" s="940"/>
      <c r="B166" s="940"/>
      <c r="C166" s="940"/>
      <c r="D166" s="940"/>
      <c r="E166" s="940"/>
      <c r="F166" s="940"/>
      <c r="G166" s="940"/>
      <c r="H166" s="940"/>
      <c r="I166" s="940"/>
      <c r="J166" s="940"/>
      <c r="K166" s="940"/>
      <c r="L166" s="940"/>
      <c r="M166" s="940"/>
      <c r="N166" s="940"/>
      <c r="O166" s="940"/>
      <c r="P166" s="940"/>
      <c r="Q166" s="940"/>
      <c r="R166" s="940"/>
      <c r="S166" s="940"/>
      <c r="T166" s="940"/>
      <c r="U166" s="940"/>
      <c r="V166" s="940"/>
      <c r="W166" s="940"/>
      <c r="X166" s="940"/>
    </row>
    <row r="167" spans="1:47" x14ac:dyDescent="0.3">
      <c r="A167" s="940"/>
      <c r="B167" s="940"/>
      <c r="C167" s="947"/>
      <c r="D167" s="940"/>
      <c r="E167" s="940"/>
      <c r="F167" s="940"/>
      <c r="G167" s="940"/>
      <c r="H167" s="940"/>
      <c r="I167" s="940"/>
      <c r="J167" s="940"/>
      <c r="K167" s="940"/>
      <c r="L167" s="953"/>
      <c r="M167" s="940"/>
      <c r="N167" s="940"/>
      <c r="O167" s="940"/>
      <c r="P167" s="940"/>
      <c r="Q167" s="940"/>
      <c r="R167" s="940"/>
      <c r="S167" s="940"/>
      <c r="T167" s="940"/>
      <c r="U167" s="940"/>
      <c r="V167" s="940"/>
      <c r="W167" s="940"/>
      <c r="X167" s="940"/>
    </row>
    <row r="168" spans="1:47" x14ac:dyDescent="0.3">
      <c r="A168" s="940"/>
      <c r="B168" s="940"/>
      <c r="C168" s="944"/>
      <c r="D168" s="944"/>
      <c r="E168" s="948"/>
      <c r="F168" s="948"/>
      <c r="G168" s="940"/>
      <c r="H168" s="940"/>
      <c r="I168" s="940"/>
      <c r="J168" s="940"/>
      <c r="K168" s="940"/>
      <c r="L168" s="948"/>
      <c r="M168" s="948"/>
      <c r="N168" s="948"/>
      <c r="O168" s="948"/>
      <c r="P168" s="948"/>
      <c r="Q168" s="948"/>
      <c r="R168" s="948"/>
      <c r="S168" s="948"/>
      <c r="T168" s="948"/>
      <c r="U168" s="948"/>
      <c r="V168" s="948"/>
      <c r="W168" s="948"/>
      <c r="X168" s="948"/>
      <c r="Y168" s="819">
        <v>2028</v>
      </c>
      <c r="Z168" s="819">
        <v>2029</v>
      </c>
      <c r="AA168" s="819">
        <v>2030</v>
      </c>
      <c r="AB168" s="819">
        <v>2031</v>
      </c>
      <c r="AC168" s="819">
        <v>2032</v>
      </c>
      <c r="AD168" s="819">
        <v>2033</v>
      </c>
      <c r="AE168" s="819">
        <v>2034</v>
      </c>
      <c r="AF168" s="819">
        <v>2035</v>
      </c>
      <c r="AG168" s="819">
        <v>2036</v>
      </c>
      <c r="AH168" s="819">
        <v>2037</v>
      </c>
      <c r="AI168" s="819">
        <v>2038</v>
      </c>
      <c r="AJ168" s="819">
        <v>2039</v>
      </c>
      <c r="AK168" s="819">
        <v>2040</v>
      </c>
      <c r="AL168" s="819">
        <v>2041</v>
      </c>
      <c r="AM168" s="819">
        <v>2042</v>
      </c>
      <c r="AN168" s="819">
        <v>2043</v>
      </c>
      <c r="AO168" s="819">
        <v>2044</v>
      </c>
      <c r="AP168" s="819">
        <v>2045</v>
      </c>
      <c r="AQ168" s="819">
        <v>2046</v>
      </c>
      <c r="AR168" s="819">
        <v>2047</v>
      </c>
      <c r="AS168" s="819">
        <v>2048</v>
      </c>
      <c r="AT168" s="819">
        <v>2049</v>
      </c>
      <c r="AU168" s="820">
        <v>2050</v>
      </c>
    </row>
    <row r="169" spans="1:47" x14ac:dyDescent="0.3">
      <c r="A169" s="940"/>
      <c r="B169" s="940"/>
      <c r="C169" s="875"/>
      <c r="D169" s="944"/>
      <c r="E169" s="948"/>
      <c r="F169" s="948"/>
      <c r="G169" s="940"/>
      <c r="H169" s="940"/>
      <c r="I169" s="940"/>
      <c r="J169" s="940"/>
      <c r="K169" s="940"/>
      <c r="L169" s="948"/>
      <c r="M169" s="948"/>
      <c r="N169" s="948"/>
      <c r="O169" s="948"/>
      <c r="P169" s="948"/>
      <c r="Q169" s="948"/>
      <c r="R169" s="948"/>
      <c r="S169" s="948"/>
      <c r="T169" s="948"/>
      <c r="U169" s="948"/>
      <c r="V169" s="948"/>
      <c r="W169" s="948"/>
      <c r="X169" s="948"/>
      <c r="Y169" s="893"/>
      <c r="Z169" s="893"/>
      <c r="AA169" s="893"/>
      <c r="AB169" s="893"/>
      <c r="AC169" s="893"/>
      <c r="AD169" s="893"/>
      <c r="AE169" s="893"/>
      <c r="AF169" s="893"/>
      <c r="AG169" s="893"/>
      <c r="AH169" s="893"/>
      <c r="AI169" s="893"/>
      <c r="AJ169" s="893"/>
      <c r="AK169" s="893"/>
      <c r="AL169" s="893"/>
      <c r="AM169" s="893"/>
      <c r="AN169" s="893"/>
      <c r="AO169" s="893"/>
      <c r="AP169" s="893"/>
      <c r="AQ169" s="893"/>
      <c r="AR169" s="893"/>
      <c r="AS169" s="893"/>
      <c r="AT169" s="893"/>
      <c r="AU169" s="894"/>
    </row>
    <row r="170" spans="1:47" x14ac:dyDescent="0.3">
      <c r="A170" s="940"/>
      <c r="B170" s="940"/>
      <c r="C170" s="951"/>
      <c r="D170" s="944"/>
      <c r="E170" s="948"/>
      <c r="F170" s="948"/>
      <c r="G170" s="940"/>
      <c r="H170" s="940"/>
      <c r="I170" s="940"/>
      <c r="J170" s="940"/>
      <c r="K170" s="940"/>
      <c r="L170" s="950"/>
      <c r="M170" s="950"/>
      <c r="N170" s="950"/>
      <c r="O170" s="950"/>
      <c r="P170" s="950"/>
      <c r="Q170" s="950"/>
      <c r="R170" s="950"/>
      <c r="S170" s="950"/>
      <c r="T170" s="950"/>
      <c r="U170" s="950"/>
      <c r="V170" s="950"/>
      <c r="W170" s="950"/>
      <c r="X170" s="950"/>
      <c r="Y170" s="897">
        <v>0</v>
      </c>
      <c r="Z170" s="897">
        <v>0</v>
      </c>
      <c r="AA170" s="897">
        <v>0</v>
      </c>
      <c r="AB170" s="897">
        <v>0</v>
      </c>
      <c r="AC170" s="897">
        <v>0</v>
      </c>
      <c r="AD170" s="897">
        <v>0</v>
      </c>
      <c r="AE170" s="897">
        <v>0</v>
      </c>
      <c r="AF170" s="897">
        <v>0</v>
      </c>
      <c r="AG170" s="897">
        <v>0</v>
      </c>
      <c r="AH170" s="897">
        <v>0</v>
      </c>
      <c r="AI170" s="897">
        <v>0</v>
      </c>
      <c r="AJ170" s="897">
        <v>0</v>
      </c>
      <c r="AK170" s="897">
        <v>0</v>
      </c>
      <c r="AL170" s="897">
        <v>0</v>
      </c>
      <c r="AM170" s="897">
        <v>0</v>
      </c>
      <c r="AN170" s="897">
        <v>0</v>
      </c>
      <c r="AO170" s="897">
        <v>0</v>
      </c>
      <c r="AP170" s="897">
        <v>0</v>
      </c>
      <c r="AQ170" s="897">
        <v>0</v>
      </c>
      <c r="AR170" s="897">
        <v>0</v>
      </c>
      <c r="AS170" s="897">
        <v>0</v>
      </c>
      <c r="AT170" s="897">
        <v>0</v>
      </c>
      <c r="AU170" s="898">
        <v>0</v>
      </c>
    </row>
    <row r="171" spans="1:47" x14ac:dyDescent="0.3">
      <c r="A171" s="940"/>
      <c r="B171" s="940"/>
      <c r="C171" s="951"/>
      <c r="D171" s="944"/>
      <c r="E171" s="948"/>
      <c r="F171" s="948"/>
      <c r="G171" s="940"/>
      <c r="H171" s="940"/>
      <c r="I171" s="940"/>
      <c r="J171" s="940"/>
      <c r="K171" s="940"/>
      <c r="L171" s="950"/>
      <c r="M171" s="950"/>
      <c r="N171" s="950"/>
      <c r="O171" s="950"/>
      <c r="P171" s="950"/>
      <c r="Q171" s="950"/>
      <c r="R171" s="950"/>
      <c r="S171" s="950"/>
      <c r="T171" s="950"/>
      <c r="U171" s="950"/>
      <c r="V171" s="950"/>
      <c r="W171" s="950"/>
      <c r="X171" s="950"/>
      <c r="Y171" s="897">
        <v>60</v>
      </c>
      <c r="Z171" s="897">
        <v>60</v>
      </c>
      <c r="AA171" s="897">
        <v>60</v>
      </c>
      <c r="AB171" s="897">
        <v>60</v>
      </c>
      <c r="AC171" s="897">
        <v>60</v>
      </c>
      <c r="AD171" s="897">
        <v>60</v>
      </c>
      <c r="AE171" s="897">
        <v>60</v>
      </c>
      <c r="AF171" s="897">
        <v>60</v>
      </c>
      <c r="AG171" s="897">
        <v>60</v>
      </c>
      <c r="AH171" s="897">
        <v>60</v>
      </c>
      <c r="AI171" s="897">
        <v>60</v>
      </c>
      <c r="AJ171" s="897">
        <v>60</v>
      </c>
      <c r="AK171" s="897">
        <v>60</v>
      </c>
      <c r="AL171" s="897">
        <v>60</v>
      </c>
      <c r="AM171" s="897">
        <v>60</v>
      </c>
      <c r="AN171" s="897">
        <v>60</v>
      </c>
      <c r="AO171" s="897">
        <v>60</v>
      </c>
      <c r="AP171" s="897">
        <v>60</v>
      </c>
      <c r="AQ171" s="897">
        <v>60</v>
      </c>
      <c r="AR171" s="897">
        <v>60</v>
      </c>
      <c r="AS171" s="897">
        <v>60</v>
      </c>
      <c r="AT171" s="897">
        <v>60</v>
      </c>
      <c r="AU171" s="898">
        <v>60</v>
      </c>
    </row>
    <row r="172" spans="1:47" x14ac:dyDescent="0.3">
      <c r="A172" s="940"/>
      <c r="B172" s="940"/>
      <c r="C172" s="951"/>
      <c r="D172" s="944"/>
      <c r="E172" s="948"/>
      <c r="F172" s="948"/>
      <c r="G172" s="940"/>
      <c r="H172" s="940"/>
      <c r="I172" s="940"/>
      <c r="J172" s="940"/>
      <c r="K172" s="940"/>
      <c r="L172" s="950"/>
      <c r="M172" s="950"/>
      <c r="N172" s="950"/>
      <c r="O172" s="950"/>
      <c r="P172" s="950"/>
      <c r="Q172" s="949"/>
      <c r="R172" s="949"/>
      <c r="S172" s="949"/>
      <c r="T172" s="949"/>
      <c r="U172" s="949"/>
      <c r="V172" s="949"/>
      <c r="W172" s="949"/>
      <c r="X172" s="949"/>
      <c r="Y172" s="907">
        <v>9.1</v>
      </c>
      <c r="Z172" s="907">
        <v>9.1</v>
      </c>
      <c r="AA172" s="907">
        <v>9.1</v>
      </c>
      <c r="AB172" s="907">
        <v>9.1</v>
      </c>
      <c r="AC172" s="907">
        <v>9.1</v>
      </c>
      <c r="AD172" s="907">
        <v>9.1</v>
      </c>
      <c r="AE172" s="907">
        <v>9.1</v>
      </c>
      <c r="AF172" s="907">
        <v>9.1</v>
      </c>
      <c r="AG172" s="907">
        <v>9.1</v>
      </c>
      <c r="AH172" s="907">
        <v>9.1</v>
      </c>
      <c r="AI172" s="907">
        <v>9.1</v>
      </c>
      <c r="AJ172" s="907">
        <v>9.1</v>
      </c>
      <c r="AK172" s="907">
        <v>9.1</v>
      </c>
      <c r="AL172" s="907">
        <v>9.1</v>
      </c>
      <c r="AM172" s="907">
        <v>9.1</v>
      </c>
      <c r="AN172" s="907">
        <v>9.1</v>
      </c>
      <c r="AO172" s="907">
        <v>9.1</v>
      </c>
      <c r="AP172" s="907">
        <v>9.1</v>
      </c>
      <c r="AQ172" s="907">
        <v>9.1</v>
      </c>
      <c r="AR172" s="907">
        <v>9.1</v>
      </c>
      <c r="AS172" s="907">
        <v>9.1</v>
      </c>
      <c r="AT172" s="907">
        <v>9.1</v>
      </c>
      <c r="AU172" s="908">
        <v>9.1</v>
      </c>
    </row>
    <row r="173" spans="1:47" x14ac:dyDescent="0.3">
      <c r="A173" s="940"/>
      <c r="B173" s="940"/>
      <c r="C173" s="951"/>
      <c r="D173" s="944"/>
      <c r="E173" s="948"/>
      <c r="F173" s="948"/>
      <c r="G173" s="940"/>
      <c r="H173" s="940"/>
      <c r="I173" s="940"/>
      <c r="J173" s="940"/>
      <c r="K173" s="940"/>
      <c r="L173" s="957"/>
      <c r="M173" s="950"/>
      <c r="N173" s="957"/>
      <c r="O173" s="957"/>
      <c r="P173" s="957"/>
      <c r="Q173" s="949"/>
      <c r="R173" s="949"/>
      <c r="S173" s="949"/>
      <c r="T173" s="949"/>
      <c r="U173" s="949"/>
      <c r="V173" s="949"/>
      <c r="W173" s="949"/>
      <c r="X173" s="949"/>
      <c r="Y173" s="910">
        <v>2.5</v>
      </c>
      <c r="Z173" s="910">
        <v>2.5</v>
      </c>
      <c r="AA173" s="910">
        <v>2.5</v>
      </c>
      <c r="AB173" s="910">
        <v>2.5</v>
      </c>
      <c r="AC173" s="910">
        <v>2.5</v>
      </c>
      <c r="AD173" s="910">
        <v>2.5</v>
      </c>
      <c r="AE173" s="910">
        <v>2.5</v>
      </c>
      <c r="AF173" s="910">
        <v>2.5</v>
      </c>
      <c r="AG173" s="910">
        <v>2.5</v>
      </c>
      <c r="AH173" s="910">
        <v>2.5</v>
      </c>
      <c r="AI173" s="910">
        <v>2.5</v>
      </c>
      <c r="AJ173" s="910">
        <v>2.5</v>
      </c>
      <c r="AK173" s="910">
        <v>2.5</v>
      </c>
      <c r="AL173" s="910">
        <v>2.5</v>
      </c>
      <c r="AM173" s="910">
        <v>2.5</v>
      </c>
      <c r="AN173" s="910">
        <v>2.5</v>
      </c>
      <c r="AO173" s="910">
        <v>2.5</v>
      </c>
      <c r="AP173" s="910">
        <v>2.5</v>
      </c>
      <c r="AQ173" s="910">
        <v>2.5</v>
      </c>
      <c r="AR173" s="910">
        <v>2.5</v>
      </c>
      <c r="AS173" s="910">
        <v>2.5</v>
      </c>
      <c r="AT173" s="910">
        <v>2.5</v>
      </c>
      <c r="AU173" s="911">
        <v>2.5</v>
      </c>
    </row>
    <row r="174" spans="1:47" x14ac:dyDescent="0.3">
      <c r="A174" s="940"/>
      <c r="B174" s="940"/>
      <c r="C174" s="951"/>
      <c r="D174" s="944"/>
      <c r="E174" s="948"/>
      <c r="F174" s="948"/>
      <c r="G174" s="940"/>
      <c r="H174" s="940"/>
      <c r="I174" s="940"/>
      <c r="J174" s="940"/>
      <c r="K174" s="940"/>
      <c r="L174" s="957"/>
      <c r="M174" s="950"/>
      <c r="N174" s="957"/>
      <c r="O174" s="957"/>
      <c r="P174" s="957"/>
      <c r="Q174" s="950"/>
      <c r="R174" s="950"/>
      <c r="S174" s="950"/>
      <c r="T174" s="950"/>
      <c r="U174" s="950"/>
      <c r="V174" s="950"/>
      <c r="W174" s="950"/>
      <c r="X174" s="950"/>
      <c r="Y174" s="897">
        <v>0</v>
      </c>
      <c r="Z174" s="897">
        <v>0</v>
      </c>
      <c r="AA174" s="897">
        <v>0</v>
      </c>
      <c r="AB174" s="897">
        <v>0</v>
      </c>
      <c r="AC174" s="897">
        <v>0</v>
      </c>
      <c r="AD174" s="897">
        <v>0</v>
      </c>
      <c r="AE174" s="897">
        <v>0</v>
      </c>
      <c r="AF174" s="897">
        <v>0</v>
      </c>
      <c r="AG174" s="897">
        <v>0</v>
      </c>
      <c r="AH174" s="897">
        <v>0</v>
      </c>
      <c r="AI174" s="897">
        <v>0</v>
      </c>
      <c r="AJ174" s="897">
        <v>0</v>
      </c>
      <c r="AK174" s="897">
        <v>0</v>
      </c>
      <c r="AL174" s="897">
        <v>0</v>
      </c>
      <c r="AM174" s="897">
        <v>0</v>
      </c>
      <c r="AN174" s="897">
        <v>0</v>
      </c>
      <c r="AO174" s="897">
        <v>0</v>
      </c>
      <c r="AP174" s="897">
        <v>0</v>
      </c>
      <c r="AQ174" s="897">
        <v>0</v>
      </c>
      <c r="AR174" s="897">
        <v>0</v>
      </c>
      <c r="AS174" s="897">
        <v>0</v>
      </c>
      <c r="AT174" s="897">
        <v>0</v>
      </c>
      <c r="AU174" s="898">
        <v>0</v>
      </c>
    </row>
    <row r="175" spans="1:47" x14ac:dyDescent="0.3">
      <c r="A175" s="940"/>
      <c r="B175" s="940"/>
      <c r="C175" s="958"/>
      <c r="D175" s="944"/>
      <c r="E175" s="948"/>
      <c r="F175" s="948"/>
      <c r="G175" s="940"/>
      <c r="H175" s="940"/>
      <c r="I175" s="940"/>
      <c r="J175" s="940"/>
      <c r="K175" s="940"/>
      <c r="L175" s="957"/>
      <c r="M175" s="950"/>
      <c r="N175" s="957"/>
      <c r="O175" s="957"/>
      <c r="P175" s="957"/>
      <c r="Q175" s="957"/>
      <c r="R175" s="957"/>
      <c r="S175" s="957"/>
      <c r="T175" s="950"/>
      <c r="U175" s="957"/>
      <c r="V175" s="957"/>
      <c r="W175" s="957"/>
      <c r="X175" s="957"/>
      <c r="Y175" s="897"/>
      <c r="Z175" s="909"/>
      <c r="AA175" s="897"/>
      <c r="AB175" s="897"/>
      <c r="AC175" s="897"/>
      <c r="AD175" s="897"/>
      <c r="AE175" s="897"/>
      <c r="AF175" s="897"/>
      <c r="AG175" s="897"/>
      <c r="AH175" s="897"/>
      <c r="AI175" s="897"/>
      <c r="AJ175" s="897"/>
      <c r="AK175" s="897"/>
      <c r="AL175" s="897"/>
      <c r="AM175" s="897"/>
      <c r="AN175" s="897"/>
      <c r="AO175" s="897"/>
      <c r="AP175" s="897"/>
      <c r="AQ175" s="897"/>
      <c r="AR175" s="897"/>
      <c r="AS175" s="897"/>
      <c r="AT175" s="897"/>
      <c r="AU175" s="898"/>
    </row>
    <row r="176" spans="1:47" x14ac:dyDescent="0.3">
      <c r="A176" s="940"/>
      <c r="B176" s="940"/>
      <c r="C176" s="951"/>
      <c r="D176" s="944"/>
      <c r="E176" s="948"/>
      <c r="F176" s="948"/>
      <c r="G176" s="940"/>
      <c r="H176" s="940"/>
      <c r="I176" s="940"/>
      <c r="J176" s="940"/>
      <c r="K176" s="940"/>
      <c r="L176" s="957"/>
      <c r="M176" s="950"/>
      <c r="N176" s="957"/>
      <c r="O176" s="957"/>
      <c r="P176" s="957"/>
      <c r="Q176" s="950"/>
      <c r="R176" s="950"/>
      <c r="S176" s="950"/>
      <c r="T176" s="950"/>
      <c r="U176" s="950"/>
      <c r="V176" s="950"/>
      <c r="W176" s="950"/>
      <c r="X176" s="950"/>
      <c r="Y176" s="897">
        <v>9051</v>
      </c>
      <c r="Z176" s="897">
        <v>9051</v>
      </c>
      <c r="AA176" s="897">
        <v>9051</v>
      </c>
      <c r="AB176" s="897">
        <v>9051</v>
      </c>
      <c r="AC176" s="897">
        <v>9051</v>
      </c>
      <c r="AD176" s="897">
        <v>9051</v>
      </c>
      <c r="AE176" s="897">
        <v>9051</v>
      </c>
      <c r="AF176" s="897">
        <v>9051</v>
      </c>
      <c r="AG176" s="897">
        <v>9051</v>
      </c>
      <c r="AH176" s="897">
        <v>9051</v>
      </c>
      <c r="AI176" s="897">
        <v>9051</v>
      </c>
      <c r="AJ176" s="897">
        <v>9051</v>
      </c>
      <c r="AK176" s="897">
        <v>9051</v>
      </c>
      <c r="AL176" s="897">
        <v>9051</v>
      </c>
      <c r="AM176" s="897">
        <v>9051</v>
      </c>
      <c r="AN176" s="897">
        <v>9051</v>
      </c>
      <c r="AO176" s="897">
        <v>9051</v>
      </c>
      <c r="AP176" s="897">
        <v>9051</v>
      </c>
      <c r="AQ176" s="897">
        <v>9051</v>
      </c>
      <c r="AR176" s="897">
        <v>9051</v>
      </c>
      <c r="AS176" s="897">
        <v>9051</v>
      </c>
      <c r="AT176" s="897">
        <v>9051</v>
      </c>
      <c r="AU176" s="898">
        <v>9051</v>
      </c>
    </row>
    <row r="177" spans="1:47" x14ac:dyDescent="0.3">
      <c r="A177" s="940"/>
      <c r="B177" s="940"/>
      <c r="C177" s="951"/>
      <c r="D177" s="944"/>
      <c r="E177" s="948"/>
      <c r="F177" s="948"/>
      <c r="G177" s="940"/>
      <c r="H177" s="940"/>
      <c r="I177" s="940"/>
      <c r="J177" s="940"/>
      <c r="K177" s="940"/>
      <c r="L177" s="957"/>
      <c r="M177" s="950"/>
      <c r="N177" s="957"/>
      <c r="O177" s="957"/>
      <c r="P177" s="957"/>
      <c r="Q177" s="950"/>
      <c r="R177" s="950"/>
      <c r="S177" s="950"/>
      <c r="T177" s="950"/>
      <c r="U177" s="950"/>
      <c r="V177" s="950"/>
      <c r="W177" s="950"/>
      <c r="X177" s="950"/>
      <c r="Y177" s="897">
        <v>57.029160057877796</v>
      </c>
      <c r="Z177" s="897">
        <v>56.707407539619403</v>
      </c>
      <c r="AA177" s="897">
        <v>56.385655021361011</v>
      </c>
      <c r="AB177" s="897">
        <v>56.23230335747526</v>
      </c>
      <c r="AC177" s="897">
        <v>56.078951693589516</v>
      </c>
      <c r="AD177" s="897">
        <v>55.925600029703759</v>
      </c>
      <c r="AE177" s="897">
        <v>55.772248365818015</v>
      </c>
      <c r="AF177" s="897">
        <v>55.618896701932265</v>
      </c>
      <c r="AG177" s="897">
        <v>55.465115955667741</v>
      </c>
      <c r="AH177" s="897">
        <v>55.311335209403218</v>
      </c>
      <c r="AI177" s="897">
        <v>55.157554463138695</v>
      </c>
      <c r="AJ177" s="897">
        <v>55.003773716874178</v>
      </c>
      <c r="AK177" s="897">
        <v>54.849992970609662</v>
      </c>
      <c r="AL177" s="897">
        <v>54.695962732848116</v>
      </c>
      <c r="AM177" s="897">
        <v>54.541932495086556</v>
      </c>
      <c r="AN177" s="897">
        <v>54.38790225732501</v>
      </c>
      <c r="AO177" s="897">
        <v>54.233872019563449</v>
      </c>
      <c r="AP177" s="897">
        <v>54.079841781801903</v>
      </c>
      <c r="AQ177" s="897">
        <v>53.925560984672067</v>
      </c>
      <c r="AR177" s="897">
        <v>53.771280187542231</v>
      </c>
      <c r="AS177" s="897">
        <v>53.616999390412403</v>
      </c>
      <c r="AT177" s="897">
        <v>53.462718593282574</v>
      </c>
      <c r="AU177" s="898">
        <v>53.308437796152731</v>
      </c>
    </row>
    <row r="178" spans="1:47" x14ac:dyDescent="0.3">
      <c r="A178" s="940"/>
      <c r="B178" s="940"/>
      <c r="C178" s="951"/>
      <c r="D178" s="944"/>
      <c r="E178" s="948"/>
      <c r="F178" s="948"/>
      <c r="G178" s="940"/>
      <c r="H178" s="940"/>
      <c r="I178" s="940"/>
      <c r="J178" s="940"/>
      <c r="K178" s="940"/>
      <c r="L178" s="957"/>
      <c r="M178" s="950"/>
      <c r="N178" s="957"/>
      <c r="O178" s="957"/>
      <c r="P178" s="957"/>
      <c r="Q178" s="950"/>
      <c r="R178" s="950"/>
      <c r="S178" s="950"/>
      <c r="T178" s="950"/>
      <c r="U178" s="950"/>
      <c r="V178" s="950"/>
      <c r="W178" s="950"/>
      <c r="X178" s="950"/>
      <c r="Y178" s="897">
        <v>516.17092768385191</v>
      </c>
      <c r="Z178" s="897">
        <v>513.25874564109517</v>
      </c>
      <c r="AA178" s="897">
        <v>510.34656359833849</v>
      </c>
      <c r="AB178" s="897">
        <v>508.95857768850857</v>
      </c>
      <c r="AC178" s="897">
        <v>507.5705917786787</v>
      </c>
      <c r="AD178" s="897">
        <v>506.18260586884873</v>
      </c>
      <c r="AE178" s="897">
        <v>504.79461995901886</v>
      </c>
      <c r="AF178" s="897">
        <v>503.40663404918894</v>
      </c>
      <c r="AG178" s="897">
        <v>502.01476451474872</v>
      </c>
      <c r="AH178" s="897">
        <v>500.62289498030856</v>
      </c>
      <c r="AI178" s="897">
        <v>499.23102544586834</v>
      </c>
      <c r="AJ178" s="897">
        <v>497.83915591142824</v>
      </c>
      <c r="AK178" s="897">
        <v>496.44728637698807</v>
      </c>
      <c r="AL178" s="897">
        <v>495.05315869500834</v>
      </c>
      <c r="AM178" s="897">
        <v>493.65903101302843</v>
      </c>
      <c r="AN178" s="897">
        <v>492.26490333104869</v>
      </c>
      <c r="AO178" s="897">
        <v>490.87077564906878</v>
      </c>
      <c r="AP178" s="897">
        <v>489.47664796708904</v>
      </c>
      <c r="AQ178" s="897">
        <v>488.08025247226692</v>
      </c>
      <c r="AR178" s="897">
        <v>486.68385697744475</v>
      </c>
      <c r="AS178" s="897">
        <v>485.28746148262269</v>
      </c>
      <c r="AT178" s="897">
        <v>483.89106598780057</v>
      </c>
      <c r="AU178" s="898">
        <v>482.49467049297834</v>
      </c>
    </row>
    <row r="179" spans="1:47" x14ac:dyDescent="0.3">
      <c r="A179" s="940"/>
      <c r="B179" s="940"/>
      <c r="C179" s="946"/>
      <c r="D179" s="944"/>
      <c r="E179" s="948"/>
      <c r="F179" s="948"/>
      <c r="G179" s="940"/>
      <c r="H179" s="940"/>
      <c r="I179" s="940"/>
      <c r="J179" s="940"/>
      <c r="K179" s="940"/>
      <c r="L179" s="957"/>
      <c r="M179" s="950"/>
      <c r="N179" s="957"/>
      <c r="O179" s="957"/>
      <c r="P179" s="957"/>
      <c r="Q179" s="957"/>
      <c r="R179" s="957"/>
      <c r="S179" s="957"/>
      <c r="T179" s="950"/>
      <c r="U179" s="957"/>
      <c r="V179" s="957"/>
      <c r="W179" s="957"/>
      <c r="X179" s="957"/>
      <c r="Y179" s="895">
        <v>516.17092768385191</v>
      </c>
      <c r="Z179" s="912">
        <v>513.25874564109517</v>
      </c>
      <c r="AA179" s="895">
        <v>510.34656359833849</v>
      </c>
      <c r="AB179" s="895">
        <v>508.95857768850857</v>
      </c>
      <c r="AC179" s="895">
        <v>507.5705917786787</v>
      </c>
      <c r="AD179" s="895">
        <v>506.18260586884873</v>
      </c>
      <c r="AE179" s="895">
        <v>504.79461995901886</v>
      </c>
      <c r="AF179" s="895">
        <v>503.40663404918894</v>
      </c>
      <c r="AG179" s="895">
        <v>502.01476451474872</v>
      </c>
      <c r="AH179" s="895">
        <v>500.62289498030856</v>
      </c>
      <c r="AI179" s="895">
        <v>499.23102544586834</v>
      </c>
      <c r="AJ179" s="895">
        <v>497.83915591142824</v>
      </c>
      <c r="AK179" s="895">
        <v>496.44728637698807</v>
      </c>
      <c r="AL179" s="895">
        <v>495.05315869500834</v>
      </c>
      <c r="AM179" s="895">
        <v>493.65903101302843</v>
      </c>
      <c r="AN179" s="895">
        <v>492.26490333104869</v>
      </c>
      <c r="AO179" s="895">
        <v>490.87077564906878</v>
      </c>
      <c r="AP179" s="895">
        <v>489.47664796708904</v>
      </c>
      <c r="AQ179" s="895">
        <v>488.08025247226692</v>
      </c>
      <c r="AR179" s="895">
        <v>486.68385697744475</v>
      </c>
      <c r="AS179" s="895">
        <v>485.28746148262269</v>
      </c>
      <c r="AT179" s="895">
        <v>483.89106598780057</v>
      </c>
      <c r="AU179" s="896">
        <v>482.49467049297834</v>
      </c>
    </row>
    <row r="180" spans="1:47" x14ac:dyDescent="0.3">
      <c r="A180" s="940"/>
      <c r="B180" s="940"/>
      <c r="C180" s="946"/>
      <c r="D180" s="944"/>
      <c r="E180" s="948"/>
      <c r="F180" s="948"/>
      <c r="G180" s="940"/>
      <c r="H180" s="940"/>
      <c r="I180" s="940"/>
      <c r="J180" s="940"/>
      <c r="K180" s="940"/>
      <c r="L180" s="957"/>
      <c r="M180" s="950"/>
      <c r="N180" s="957"/>
      <c r="O180" s="957"/>
      <c r="P180" s="957"/>
      <c r="Q180" s="957"/>
      <c r="R180" s="957"/>
      <c r="S180" s="957"/>
      <c r="T180" s="950"/>
      <c r="U180" s="957"/>
      <c r="V180" s="957"/>
      <c r="W180" s="957"/>
      <c r="X180" s="957"/>
      <c r="Y180" s="899">
        <v>554.25255126248283</v>
      </c>
      <c r="Z180" s="900">
        <v>551.12551670789946</v>
      </c>
      <c r="AA180" s="899">
        <v>547.99848215331633</v>
      </c>
      <c r="AB180" s="899">
        <v>546.50809458908134</v>
      </c>
      <c r="AC180" s="899">
        <v>545.01770702484646</v>
      </c>
      <c r="AD180" s="899">
        <v>543.52731946061158</v>
      </c>
      <c r="AE180" s="899">
        <v>542.0369318963767</v>
      </c>
      <c r="AF180" s="899">
        <v>540.54654433214171</v>
      </c>
      <c r="AG180" s="899">
        <v>539.05198662051384</v>
      </c>
      <c r="AH180" s="899">
        <v>537.5574289088861</v>
      </c>
      <c r="AI180" s="899">
        <v>536.06287119725823</v>
      </c>
      <c r="AJ180" s="899">
        <v>534.56831348563048</v>
      </c>
      <c r="AK180" s="899">
        <v>533.07375577400262</v>
      </c>
      <c r="AL180" s="899">
        <v>531.57677331512969</v>
      </c>
      <c r="AM180" s="899">
        <v>530.07979085625652</v>
      </c>
      <c r="AN180" s="899">
        <v>528.58280839738347</v>
      </c>
      <c r="AO180" s="899">
        <v>527.08582593851031</v>
      </c>
      <c r="AP180" s="899">
        <v>525.58884347963738</v>
      </c>
      <c r="AQ180" s="899">
        <v>524.08942589513788</v>
      </c>
      <c r="AR180" s="899">
        <v>522.59000831063827</v>
      </c>
      <c r="AS180" s="899">
        <v>521.09059072613877</v>
      </c>
      <c r="AT180" s="899">
        <v>519.59117314163927</v>
      </c>
      <c r="AU180" s="901">
        <v>518.09175555713966</v>
      </c>
    </row>
    <row r="181" spans="1:47" x14ac:dyDescent="0.3">
      <c r="A181" s="940"/>
      <c r="B181" s="940"/>
      <c r="C181" s="940"/>
      <c r="D181" s="940"/>
      <c r="E181" s="940"/>
      <c r="F181" s="940"/>
      <c r="G181" s="940"/>
      <c r="H181" s="940"/>
      <c r="I181" s="940"/>
      <c r="J181" s="940"/>
      <c r="K181" s="940"/>
      <c r="L181" s="940"/>
      <c r="M181" s="940"/>
      <c r="N181" s="940"/>
      <c r="O181" s="940"/>
      <c r="P181" s="940"/>
      <c r="Q181" s="940"/>
      <c r="R181" s="940"/>
      <c r="S181" s="940"/>
      <c r="T181" s="940"/>
      <c r="U181" s="940"/>
      <c r="V181" s="940"/>
      <c r="W181" s="940"/>
      <c r="X181" s="940"/>
    </row>
    <row r="182" spans="1:47" x14ac:dyDescent="0.3">
      <c r="A182" s="939"/>
      <c r="B182" s="940"/>
      <c r="C182" s="940"/>
      <c r="D182" s="940"/>
      <c r="E182" s="940"/>
      <c r="F182" s="940"/>
      <c r="G182" s="940"/>
      <c r="H182" s="940"/>
      <c r="I182" s="940"/>
      <c r="J182" s="940"/>
      <c r="K182" s="940"/>
      <c r="L182" s="940"/>
      <c r="M182" s="940"/>
      <c r="N182" s="940"/>
      <c r="O182" s="940"/>
      <c r="P182" s="940"/>
      <c r="Q182" s="940"/>
      <c r="R182" s="940"/>
      <c r="S182" s="940"/>
      <c r="T182" s="940"/>
      <c r="U182" s="940"/>
      <c r="V182" s="940"/>
      <c r="W182" s="940"/>
      <c r="X182" s="940"/>
    </row>
    <row r="183" spans="1:47" x14ac:dyDescent="0.3">
      <c r="A183" s="940"/>
      <c r="B183" s="940"/>
      <c r="C183" s="940"/>
      <c r="D183" s="940"/>
      <c r="E183" s="940"/>
      <c r="F183" s="940"/>
      <c r="G183" s="940"/>
      <c r="H183" s="940"/>
      <c r="I183" s="940"/>
      <c r="J183" s="940"/>
      <c r="K183" s="940"/>
      <c r="L183" s="940"/>
      <c r="M183" s="940"/>
      <c r="N183" s="940"/>
      <c r="O183" s="940"/>
      <c r="P183" s="940"/>
      <c r="Q183" s="940"/>
      <c r="R183" s="940"/>
      <c r="S183" s="940"/>
      <c r="T183" s="940"/>
      <c r="U183" s="940"/>
      <c r="V183" s="940"/>
      <c r="W183" s="940"/>
      <c r="X183" s="940"/>
    </row>
    <row r="184" spans="1:47" x14ac:dyDescent="0.3">
      <c r="A184" s="940"/>
      <c r="B184" s="940"/>
      <c r="C184" s="940"/>
      <c r="D184" s="940"/>
      <c r="E184" s="940"/>
      <c r="F184" s="940"/>
      <c r="G184" s="940"/>
      <c r="H184" s="940"/>
      <c r="I184" s="940"/>
      <c r="J184" s="940"/>
      <c r="K184" s="940"/>
      <c r="L184" s="940"/>
      <c r="M184" s="940"/>
      <c r="N184" s="940"/>
      <c r="O184" s="940"/>
      <c r="P184" s="940"/>
      <c r="Q184" s="940"/>
      <c r="R184" s="940"/>
      <c r="S184" s="940"/>
      <c r="T184" s="940"/>
      <c r="U184" s="940"/>
      <c r="V184" s="940"/>
      <c r="W184" s="940"/>
      <c r="X184" s="940"/>
    </row>
    <row r="185" spans="1:47" x14ac:dyDescent="0.3">
      <c r="A185" s="940"/>
      <c r="B185" s="940"/>
      <c r="C185" s="940"/>
      <c r="D185" s="940"/>
      <c r="E185" s="940"/>
      <c r="F185" s="940"/>
      <c r="G185" s="940"/>
      <c r="H185" s="940"/>
      <c r="I185" s="940"/>
      <c r="J185" s="940"/>
      <c r="K185" s="940"/>
      <c r="L185" s="940"/>
      <c r="M185" s="940"/>
      <c r="N185" s="940"/>
      <c r="O185" s="940"/>
      <c r="P185" s="940"/>
      <c r="Q185" s="940"/>
      <c r="R185" s="940"/>
      <c r="S185" s="940"/>
      <c r="T185" s="940"/>
      <c r="U185" s="940"/>
      <c r="V185" s="940"/>
      <c r="W185" s="940"/>
      <c r="X185" s="940"/>
    </row>
    <row r="186" spans="1:47" x14ac:dyDescent="0.3">
      <c r="A186" s="940"/>
      <c r="B186" s="940"/>
      <c r="C186" s="940"/>
      <c r="D186" s="940"/>
      <c r="E186" s="940"/>
      <c r="F186" s="940"/>
      <c r="G186" s="940"/>
      <c r="H186" s="940"/>
      <c r="I186" s="940"/>
      <c r="J186" s="940"/>
      <c r="K186" s="940"/>
      <c r="L186" s="940"/>
      <c r="M186" s="940"/>
      <c r="N186" s="940"/>
      <c r="O186" s="940"/>
      <c r="P186" s="940"/>
      <c r="Q186" s="940"/>
      <c r="R186" s="940"/>
      <c r="S186" s="940"/>
      <c r="T186" s="940"/>
      <c r="U186" s="940"/>
      <c r="V186" s="940"/>
      <c r="W186" s="940"/>
      <c r="X186" s="940"/>
    </row>
    <row r="187" spans="1:47" x14ac:dyDescent="0.3">
      <c r="A187" s="940"/>
      <c r="B187" s="940"/>
      <c r="C187" s="940"/>
      <c r="D187" s="940"/>
      <c r="E187" s="940"/>
      <c r="F187" s="940"/>
      <c r="G187" s="940"/>
      <c r="H187" s="940"/>
      <c r="I187" s="940"/>
      <c r="J187" s="940"/>
      <c r="K187" s="940"/>
      <c r="L187" s="940"/>
      <c r="M187" s="940"/>
      <c r="N187" s="940"/>
      <c r="O187" s="940"/>
      <c r="P187" s="940"/>
      <c r="Q187" s="940"/>
      <c r="R187" s="940"/>
      <c r="S187" s="940"/>
      <c r="T187" s="940"/>
      <c r="U187" s="940"/>
      <c r="V187" s="940"/>
      <c r="W187" s="940"/>
      <c r="X187" s="940"/>
    </row>
    <row r="188" spans="1:47" x14ac:dyDescent="0.3">
      <c r="A188" s="940"/>
      <c r="B188" s="940"/>
      <c r="C188" s="940"/>
      <c r="D188" s="940"/>
      <c r="E188" s="940"/>
      <c r="F188" s="940"/>
      <c r="G188" s="940"/>
      <c r="H188" s="940"/>
      <c r="I188" s="940"/>
      <c r="J188" s="940"/>
      <c r="K188" s="940"/>
      <c r="L188" s="940"/>
      <c r="M188" s="940"/>
      <c r="N188" s="940"/>
      <c r="O188" s="940"/>
      <c r="P188" s="940"/>
      <c r="Q188" s="940"/>
      <c r="R188" s="940"/>
      <c r="S188" s="940"/>
      <c r="T188" s="940"/>
      <c r="U188" s="940"/>
      <c r="V188" s="940"/>
      <c r="W188" s="940"/>
      <c r="X188" s="940"/>
    </row>
    <row r="189" spans="1:47" x14ac:dyDescent="0.3">
      <c r="A189" s="940"/>
      <c r="B189" s="940"/>
      <c r="C189" s="940"/>
      <c r="D189" s="940"/>
      <c r="E189" s="940"/>
      <c r="F189" s="940"/>
      <c r="G189" s="940"/>
      <c r="H189" s="940"/>
      <c r="I189" s="940"/>
      <c r="J189" s="940"/>
      <c r="K189" s="940"/>
      <c r="L189" s="940"/>
      <c r="M189" s="940"/>
      <c r="N189" s="940"/>
      <c r="O189" s="940"/>
      <c r="P189" s="940"/>
      <c r="Q189" s="940"/>
      <c r="R189" s="940"/>
      <c r="S189" s="940"/>
      <c r="T189" s="940"/>
      <c r="U189" s="940"/>
      <c r="V189" s="940"/>
      <c r="W189" s="940"/>
      <c r="X189" s="940"/>
    </row>
    <row r="190" spans="1:47" x14ac:dyDescent="0.3">
      <c r="A190" s="940"/>
      <c r="B190" s="940"/>
      <c r="C190" s="940"/>
      <c r="D190" s="940"/>
      <c r="E190" s="940"/>
      <c r="F190" s="940"/>
      <c r="G190" s="940"/>
      <c r="H190" s="940"/>
      <c r="I190" s="940"/>
      <c r="J190" s="940"/>
      <c r="K190" s="940"/>
      <c r="L190" s="940"/>
      <c r="M190" s="940"/>
      <c r="N190" s="940"/>
      <c r="O190" s="940"/>
      <c r="P190" s="940"/>
      <c r="Q190" s="940"/>
      <c r="R190" s="940"/>
      <c r="S190" s="940"/>
      <c r="T190" s="940"/>
      <c r="U190" s="940"/>
      <c r="V190" s="940"/>
      <c r="W190" s="940"/>
      <c r="X190" s="940"/>
    </row>
    <row r="191" spans="1:47" x14ac:dyDescent="0.3">
      <c r="A191" s="940"/>
      <c r="B191" s="940"/>
      <c r="C191" s="940"/>
      <c r="D191" s="940"/>
      <c r="E191" s="940"/>
      <c r="F191" s="940"/>
      <c r="G191" s="940"/>
      <c r="H191" s="940"/>
      <c r="I191" s="940"/>
      <c r="J191" s="940"/>
      <c r="K191" s="940"/>
      <c r="L191" s="940"/>
      <c r="M191" s="940"/>
      <c r="N191" s="940"/>
      <c r="O191" s="940"/>
      <c r="P191" s="940"/>
      <c r="Q191" s="940"/>
      <c r="R191" s="940"/>
      <c r="S191" s="940"/>
      <c r="T191" s="940"/>
      <c r="U191" s="940"/>
      <c r="V191" s="940"/>
      <c r="W191" s="940"/>
      <c r="X191" s="940"/>
    </row>
    <row r="192" spans="1:47" x14ac:dyDescent="0.3">
      <c r="A192" s="940"/>
      <c r="B192" s="940"/>
      <c r="C192" s="940"/>
      <c r="D192" s="940"/>
      <c r="E192" s="940"/>
      <c r="F192" s="940"/>
      <c r="G192" s="940"/>
      <c r="H192" s="940"/>
      <c r="I192" s="940"/>
      <c r="J192" s="940"/>
      <c r="K192" s="940"/>
      <c r="L192" s="940"/>
      <c r="M192" s="940"/>
      <c r="N192" s="940"/>
      <c r="O192" s="940"/>
      <c r="P192" s="940"/>
      <c r="Q192" s="940"/>
      <c r="R192" s="940"/>
      <c r="S192" s="940"/>
      <c r="T192" s="940"/>
      <c r="U192" s="940"/>
      <c r="V192" s="940"/>
      <c r="W192" s="940"/>
      <c r="X192" s="940"/>
    </row>
    <row r="193" spans="1:24" x14ac:dyDescent="0.3">
      <c r="A193" s="940"/>
      <c r="B193" s="940"/>
      <c r="C193" s="940"/>
      <c r="D193" s="940"/>
      <c r="E193" s="940"/>
      <c r="F193" s="940"/>
      <c r="G193" s="940"/>
      <c r="H193" s="940"/>
      <c r="I193" s="940"/>
      <c r="J193" s="940"/>
      <c r="K193" s="940"/>
      <c r="L193" s="940"/>
      <c r="M193" s="940"/>
      <c r="N193" s="940"/>
      <c r="O193" s="940"/>
      <c r="P193" s="940"/>
      <c r="Q193" s="940"/>
      <c r="R193" s="940"/>
      <c r="S193" s="940"/>
      <c r="T193" s="940"/>
      <c r="U193" s="940"/>
      <c r="V193" s="940"/>
      <c r="W193" s="940"/>
      <c r="X193" s="940"/>
    </row>
    <row r="194" spans="1:24" x14ac:dyDescent="0.3">
      <c r="A194" s="940"/>
      <c r="B194" s="940"/>
      <c r="C194" s="940"/>
      <c r="D194" s="940"/>
      <c r="E194" s="940"/>
      <c r="F194" s="940"/>
      <c r="G194" s="940"/>
      <c r="H194" s="940"/>
      <c r="I194" s="940"/>
      <c r="J194" s="940"/>
      <c r="K194" s="940"/>
      <c r="L194" s="940"/>
      <c r="M194" s="940"/>
      <c r="N194" s="940"/>
      <c r="O194" s="940"/>
      <c r="P194" s="940"/>
      <c r="Q194" s="940"/>
      <c r="R194" s="940"/>
      <c r="S194" s="940"/>
      <c r="T194" s="940"/>
      <c r="U194" s="940"/>
      <c r="V194" s="940"/>
      <c r="W194" s="940"/>
      <c r="X194" s="940"/>
    </row>
    <row r="195" spans="1:24" x14ac:dyDescent="0.3">
      <c r="A195" s="940"/>
      <c r="B195" s="940"/>
      <c r="C195" s="940"/>
      <c r="D195" s="940"/>
      <c r="E195" s="940"/>
      <c r="F195" s="940"/>
      <c r="G195" s="940"/>
      <c r="H195" s="940"/>
      <c r="I195" s="940"/>
      <c r="J195" s="940"/>
      <c r="K195" s="940"/>
      <c r="L195" s="940"/>
      <c r="M195" s="940"/>
      <c r="N195" s="940"/>
      <c r="O195" s="940"/>
      <c r="P195" s="940"/>
      <c r="Q195" s="940"/>
      <c r="R195" s="940"/>
      <c r="S195" s="940"/>
      <c r="T195" s="940"/>
      <c r="U195" s="940"/>
      <c r="V195" s="940"/>
      <c r="W195" s="940"/>
      <c r="X195" s="940"/>
    </row>
    <row r="196" spans="1:24" x14ac:dyDescent="0.3">
      <c r="A196" s="940"/>
      <c r="B196" s="940"/>
      <c r="C196" s="940"/>
      <c r="D196" s="940"/>
      <c r="E196" s="940"/>
      <c r="F196" s="940"/>
      <c r="G196" s="940"/>
      <c r="H196" s="940"/>
      <c r="I196" s="940"/>
      <c r="J196" s="940"/>
      <c r="K196" s="940"/>
      <c r="L196" s="940"/>
      <c r="M196" s="940"/>
      <c r="N196" s="940"/>
      <c r="O196" s="940"/>
      <c r="P196" s="940"/>
      <c r="Q196" s="940"/>
      <c r="R196" s="940"/>
      <c r="S196" s="940"/>
      <c r="T196" s="940"/>
      <c r="U196" s="940"/>
      <c r="V196" s="940"/>
      <c r="W196" s="940"/>
      <c r="X196" s="940"/>
    </row>
    <row r="197" spans="1:24" x14ac:dyDescent="0.3">
      <c r="A197" s="940"/>
      <c r="B197" s="940"/>
      <c r="C197" s="940"/>
      <c r="D197" s="940"/>
      <c r="E197" s="940"/>
      <c r="F197" s="940"/>
      <c r="G197" s="940"/>
      <c r="H197" s="940"/>
      <c r="I197" s="940"/>
      <c r="J197" s="940"/>
      <c r="K197" s="940"/>
      <c r="L197" s="940"/>
      <c r="M197" s="940"/>
      <c r="N197" s="940"/>
      <c r="O197" s="940"/>
      <c r="P197" s="940"/>
      <c r="Q197" s="940"/>
      <c r="R197" s="940"/>
      <c r="S197" s="940"/>
      <c r="T197" s="940"/>
      <c r="U197" s="940"/>
      <c r="V197" s="940"/>
      <c r="W197" s="940"/>
      <c r="X197" s="940"/>
    </row>
    <row r="198" spans="1:24" x14ac:dyDescent="0.3">
      <c r="A198" s="940"/>
      <c r="B198" s="940"/>
      <c r="C198" s="940"/>
      <c r="D198" s="940"/>
      <c r="E198" s="940"/>
      <c r="F198" s="940"/>
      <c r="G198" s="940"/>
      <c r="H198" s="940"/>
      <c r="I198" s="940"/>
      <c r="J198" s="940"/>
      <c r="K198" s="940"/>
      <c r="L198" s="940"/>
      <c r="M198" s="940"/>
      <c r="N198" s="940"/>
      <c r="O198" s="940"/>
      <c r="P198" s="940"/>
      <c r="Q198" s="940"/>
      <c r="R198" s="940"/>
      <c r="S198" s="940"/>
      <c r="T198" s="940"/>
      <c r="U198" s="940"/>
      <c r="V198" s="940"/>
      <c r="W198" s="940"/>
      <c r="X198" s="940"/>
    </row>
    <row r="199" spans="1:24" x14ac:dyDescent="0.3">
      <c r="A199" s="940"/>
      <c r="B199" s="940"/>
      <c r="C199" s="940"/>
      <c r="D199" s="940"/>
      <c r="E199" s="940"/>
      <c r="F199" s="940"/>
      <c r="G199" s="940"/>
      <c r="H199" s="940"/>
      <c r="I199" s="940"/>
      <c r="J199" s="940"/>
      <c r="K199" s="940"/>
      <c r="L199" s="940"/>
      <c r="M199" s="940"/>
      <c r="N199" s="940"/>
      <c r="O199" s="940"/>
      <c r="P199" s="940"/>
      <c r="Q199" s="940"/>
      <c r="R199" s="940"/>
      <c r="S199" s="940"/>
      <c r="T199" s="940"/>
      <c r="U199" s="940"/>
      <c r="V199" s="940"/>
      <c r="W199" s="940"/>
      <c r="X199" s="940"/>
    </row>
    <row r="200" spans="1:24" x14ac:dyDescent="0.3">
      <c r="A200" s="940"/>
      <c r="B200" s="940"/>
      <c r="C200" s="940"/>
      <c r="D200" s="940"/>
      <c r="E200" s="940"/>
      <c r="F200" s="940"/>
      <c r="G200" s="940"/>
      <c r="H200" s="940"/>
      <c r="I200" s="940"/>
      <c r="J200" s="940"/>
      <c r="K200" s="940"/>
      <c r="L200" s="940"/>
      <c r="M200" s="940"/>
      <c r="N200" s="940"/>
      <c r="O200" s="940"/>
      <c r="P200" s="940"/>
      <c r="Q200" s="940"/>
      <c r="R200" s="940"/>
      <c r="S200" s="940"/>
      <c r="T200" s="940"/>
      <c r="U200" s="940"/>
      <c r="V200" s="940"/>
      <c r="W200" s="940"/>
      <c r="X200" s="940"/>
    </row>
    <row r="201" spans="1:24" x14ac:dyDescent="0.3">
      <c r="A201" s="940"/>
      <c r="B201" s="940"/>
      <c r="C201" s="940"/>
      <c r="D201" s="940"/>
      <c r="E201" s="940"/>
      <c r="F201" s="940"/>
      <c r="G201" s="940"/>
      <c r="H201" s="940"/>
      <c r="I201" s="940"/>
      <c r="J201" s="940"/>
      <c r="K201" s="940"/>
      <c r="L201" s="940"/>
      <c r="M201" s="940"/>
      <c r="N201" s="940"/>
      <c r="O201" s="940"/>
      <c r="P201" s="940"/>
      <c r="Q201" s="940"/>
      <c r="R201" s="940"/>
      <c r="S201" s="940"/>
      <c r="T201" s="940"/>
      <c r="U201" s="940"/>
      <c r="V201" s="940"/>
      <c r="W201" s="940"/>
      <c r="X201" s="940"/>
    </row>
    <row r="202" spans="1:24" x14ac:dyDescent="0.3">
      <c r="A202" s="940"/>
      <c r="B202" s="940"/>
      <c r="C202" s="940"/>
      <c r="D202" s="940"/>
      <c r="E202" s="940"/>
      <c r="F202" s="940"/>
      <c r="G202" s="940"/>
      <c r="H202" s="940"/>
      <c r="I202" s="940"/>
      <c r="J202" s="940"/>
      <c r="K202" s="940"/>
      <c r="L202" s="940"/>
      <c r="M202" s="940"/>
      <c r="N202" s="940"/>
      <c r="O202" s="940"/>
      <c r="P202" s="940"/>
      <c r="Q202" s="940"/>
      <c r="R202" s="940"/>
      <c r="S202" s="940"/>
      <c r="T202" s="940"/>
      <c r="U202" s="940"/>
      <c r="V202" s="940"/>
      <c r="W202" s="940"/>
      <c r="X202" s="940"/>
    </row>
    <row r="203" spans="1:24" x14ac:dyDescent="0.3">
      <c r="A203" s="940"/>
      <c r="B203" s="940"/>
      <c r="C203" s="940"/>
      <c r="D203" s="940"/>
      <c r="E203" s="940"/>
      <c r="F203" s="940"/>
      <c r="G203" s="940"/>
      <c r="H203" s="940"/>
      <c r="I203" s="940"/>
      <c r="J203" s="940"/>
      <c r="K203" s="940"/>
      <c r="L203" s="940"/>
      <c r="M203" s="940"/>
      <c r="N203" s="940"/>
      <c r="O203" s="940"/>
      <c r="P203" s="940"/>
      <c r="Q203" s="940"/>
      <c r="R203" s="940"/>
      <c r="S203" s="940"/>
      <c r="T203" s="940"/>
      <c r="U203" s="940"/>
      <c r="V203" s="940"/>
      <c r="W203" s="940"/>
      <c r="X203" s="940"/>
    </row>
    <row r="204" spans="1:24" x14ac:dyDescent="0.3">
      <c r="A204" s="940"/>
      <c r="B204" s="940"/>
      <c r="C204" s="940"/>
      <c r="D204" s="940"/>
      <c r="E204" s="940"/>
      <c r="F204" s="940"/>
      <c r="G204" s="940"/>
      <c r="H204" s="940"/>
      <c r="I204" s="940"/>
      <c r="J204" s="940"/>
      <c r="K204" s="940"/>
      <c r="L204" s="940"/>
      <c r="M204" s="940"/>
      <c r="N204" s="940"/>
      <c r="O204" s="940"/>
      <c r="P204" s="940"/>
      <c r="Q204" s="940"/>
      <c r="R204" s="940"/>
      <c r="S204" s="940"/>
      <c r="T204" s="940"/>
      <c r="U204" s="940"/>
      <c r="V204" s="940"/>
      <c r="W204" s="940"/>
      <c r="X204" s="940"/>
    </row>
    <row r="205" spans="1:24" x14ac:dyDescent="0.3">
      <c r="A205" s="940"/>
      <c r="B205" s="940"/>
      <c r="C205" s="940"/>
      <c r="D205" s="940"/>
      <c r="E205" s="940"/>
      <c r="F205" s="940"/>
      <c r="G205" s="940"/>
      <c r="H205" s="940"/>
      <c r="I205" s="940"/>
      <c r="J205" s="940"/>
      <c r="K205" s="940"/>
      <c r="L205" s="940"/>
      <c r="M205" s="940"/>
      <c r="N205" s="940"/>
      <c r="O205" s="940"/>
      <c r="P205" s="940"/>
      <c r="Q205" s="940"/>
      <c r="R205" s="940"/>
      <c r="S205" s="940"/>
      <c r="T205" s="940"/>
      <c r="U205" s="940"/>
      <c r="V205" s="940"/>
      <c r="W205" s="940"/>
      <c r="X205" s="940"/>
    </row>
    <row r="206" spans="1:24" x14ac:dyDescent="0.3">
      <c r="A206" s="940"/>
      <c r="B206" s="940"/>
      <c r="C206" s="940"/>
      <c r="D206" s="940"/>
      <c r="E206" s="940"/>
      <c r="F206" s="940"/>
      <c r="G206" s="940"/>
      <c r="H206" s="940"/>
      <c r="I206" s="940"/>
      <c r="J206" s="940"/>
      <c r="K206" s="940"/>
      <c r="L206" s="940"/>
      <c r="M206" s="940"/>
      <c r="N206" s="940"/>
      <c r="O206" s="940"/>
      <c r="P206" s="940"/>
      <c r="Q206" s="940"/>
      <c r="R206" s="940"/>
      <c r="S206" s="940"/>
      <c r="T206" s="940"/>
      <c r="U206" s="940"/>
      <c r="V206" s="940"/>
      <c r="W206" s="940"/>
      <c r="X206" s="940"/>
    </row>
    <row r="207" spans="1:24" x14ac:dyDescent="0.3">
      <c r="A207" s="940"/>
      <c r="B207" s="940"/>
      <c r="C207" s="940"/>
      <c r="D207" s="940"/>
      <c r="E207" s="940"/>
      <c r="F207" s="940"/>
      <c r="G207" s="940"/>
      <c r="H207" s="940"/>
      <c r="I207" s="940"/>
      <c r="J207" s="940"/>
      <c r="K207" s="940"/>
      <c r="L207" s="940"/>
      <c r="M207" s="940"/>
      <c r="N207" s="940"/>
      <c r="O207" s="940"/>
      <c r="P207" s="940"/>
      <c r="Q207" s="940"/>
      <c r="R207" s="940"/>
      <c r="S207" s="940"/>
      <c r="T207" s="940"/>
      <c r="U207" s="940"/>
      <c r="V207" s="940"/>
      <c r="W207" s="940"/>
      <c r="X207" s="940"/>
    </row>
    <row r="208" spans="1:24" x14ac:dyDescent="0.3">
      <c r="A208" s="940"/>
      <c r="B208" s="940"/>
      <c r="C208" s="940"/>
      <c r="D208" s="940"/>
      <c r="E208" s="940"/>
      <c r="F208" s="940"/>
      <c r="G208" s="940"/>
      <c r="H208" s="940"/>
      <c r="I208" s="940"/>
      <c r="J208" s="940"/>
      <c r="K208" s="940"/>
      <c r="L208" s="940"/>
      <c r="M208" s="940"/>
      <c r="N208" s="940"/>
      <c r="O208" s="940"/>
      <c r="P208" s="940"/>
      <c r="Q208" s="940"/>
      <c r="R208" s="940"/>
      <c r="S208" s="940"/>
      <c r="T208" s="940"/>
      <c r="U208" s="940"/>
      <c r="V208" s="940"/>
      <c r="W208" s="940"/>
      <c r="X208" s="940"/>
    </row>
    <row r="209" spans="1:24" x14ac:dyDescent="0.3">
      <c r="A209" s="940"/>
      <c r="B209" s="940"/>
      <c r="C209" s="940"/>
      <c r="D209" s="940"/>
      <c r="E209" s="940"/>
      <c r="F209" s="940"/>
      <c r="G209" s="940"/>
      <c r="H209" s="940"/>
      <c r="I209" s="940"/>
      <c r="J209" s="940"/>
      <c r="K209" s="940"/>
      <c r="L209" s="940"/>
      <c r="M209" s="940"/>
      <c r="N209" s="940"/>
      <c r="O209" s="940"/>
      <c r="P209" s="940"/>
      <c r="Q209" s="940"/>
      <c r="R209" s="940"/>
      <c r="S209" s="940"/>
      <c r="T209" s="940"/>
      <c r="U209" s="940"/>
      <c r="V209" s="940"/>
      <c r="W209" s="940"/>
      <c r="X209" s="940"/>
    </row>
    <row r="210" spans="1:24" x14ac:dyDescent="0.3">
      <c r="A210" s="940"/>
      <c r="B210" s="940"/>
      <c r="C210" s="940"/>
      <c r="D210" s="940"/>
      <c r="E210" s="940"/>
      <c r="F210" s="940"/>
      <c r="G210" s="940"/>
      <c r="H210" s="940"/>
      <c r="I210" s="940"/>
      <c r="J210" s="940"/>
      <c r="K210" s="940"/>
      <c r="L210" s="940"/>
      <c r="M210" s="940"/>
      <c r="N210" s="940"/>
      <c r="O210" s="940"/>
      <c r="P210" s="940"/>
      <c r="Q210" s="940"/>
      <c r="R210" s="940"/>
      <c r="S210" s="940"/>
      <c r="T210" s="940"/>
      <c r="U210" s="940"/>
      <c r="V210" s="940"/>
      <c r="W210" s="940"/>
      <c r="X210" s="940"/>
    </row>
    <row r="211" spans="1:24" x14ac:dyDescent="0.3">
      <c r="A211" s="940"/>
      <c r="B211" s="940"/>
      <c r="C211" s="940"/>
      <c r="D211" s="940"/>
      <c r="E211" s="940"/>
      <c r="F211" s="940"/>
      <c r="G211" s="940"/>
      <c r="H211" s="940"/>
      <c r="I211" s="940"/>
      <c r="J211" s="940"/>
      <c r="K211" s="940"/>
      <c r="L211" s="940"/>
      <c r="M211" s="940"/>
      <c r="N211" s="940"/>
      <c r="O211" s="940"/>
      <c r="P211" s="940"/>
      <c r="Q211" s="940"/>
      <c r="R211" s="940"/>
      <c r="S211" s="940"/>
      <c r="T211" s="940"/>
      <c r="U211" s="940"/>
      <c r="V211" s="940"/>
      <c r="W211" s="940"/>
      <c r="X211" s="940"/>
    </row>
    <row r="212" spans="1:24" x14ac:dyDescent="0.3">
      <c r="A212" s="940"/>
      <c r="B212" s="940"/>
      <c r="C212" s="940"/>
      <c r="D212" s="940"/>
      <c r="E212" s="940"/>
      <c r="F212" s="940"/>
      <c r="G212" s="940"/>
      <c r="H212" s="940"/>
      <c r="I212" s="940"/>
      <c r="J212" s="940"/>
      <c r="K212" s="940"/>
      <c r="L212" s="940"/>
      <c r="M212" s="940"/>
      <c r="N212" s="940"/>
      <c r="O212" s="940"/>
      <c r="P212" s="940"/>
      <c r="Q212" s="940"/>
      <c r="R212" s="940"/>
      <c r="S212" s="940"/>
      <c r="T212" s="940"/>
      <c r="U212" s="940"/>
      <c r="V212" s="940"/>
      <c r="W212" s="940"/>
      <c r="X212" s="940"/>
    </row>
    <row r="213" spans="1:24" x14ac:dyDescent="0.3">
      <c r="A213" s="940"/>
      <c r="B213" s="940"/>
      <c r="C213" s="940"/>
      <c r="D213" s="940"/>
      <c r="E213" s="940"/>
      <c r="F213" s="940"/>
      <c r="G213" s="940"/>
      <c r="H213" s="940"/>
      <c r="I213" s="940"/>
      <c r="J213" s="940"/>
      <c r="K213" s="940"/>
      <c r="L213" s="940"/>
      <c r="M213" s="940"/>
      <c r="N213" s="940"/>
      <c r="O213" s="940"/>
      <c r="P213" s="940"/>
      <c r="Q213" s="940"/>
      <c r="R213" s="940"/>
      <c r="S213" s="940"/>
      <c r="T213" s="940"/>
      <c r="U213" s="940"/>
      <c r="V213" s="940"/>
      <c r="W213" s="940"/>
      <c r="X213" s="940"/>
    </row>
    <row r="214" spans="1:24" x14ac:dyDescent="0.3">
      <c r="A214" s="940"/>
      <c r="B214" s="940"/>
      <c r="C214" s="959"/>
      <c r="D214" s="959"/>
      <c r="E214" s="959"/>
      <c r="F214" s="959"/>
      <c r="G214" s="959"/>
      <c r="H214" s="959"/>
      <c r="I214" s="959"/>
      <c r="J214" s="940"/>
      <c r="K214" s="940"/>
      <c r="L214" s="940"/>
      <c r="M214" s="940"/>
      <c r="N214" s="940"/>
      <c r="O214" s="940"/>
      <c r="P214" s="940"/>
      <c r="Q214" s="940"/>
      <c r="R214" s="940"/>
      <c r="S214" s="940"/>
      <c r="T214" s="940"/>
      <c r="U214" s="940"/>
      <c r="V214" s="940"/>
      <c r="W214" s="940"/>
      <c r="X214" s="940"/>
    </row>
    <row r="215" spans="1:24" x14ac:dyDescent="0.3">
      <c r="A215" s="940"/>
      <c r="B215" s="940"/>
      <c r="C215" s="940"/>
      <c r="D215" s="940"/>
      <c r="E215" s="940"/>
      <c r="F215" s="940"/>
      <c r="G215" s="940"/>
      <c r="H215" s="940"/>
      <c r="I215" s="940"/>
      <c r="J215" s="940"/>
      <c r="K215" s="940"/>
      <c r="L215" s="940"/>
      <c r="M215" s="940"/>
      <c r="N215" s="940"/>
      <c r="O215" s="940"/>
      <c r="P215" s="940"/>
      <c r="Q215" s="940"/>
      <c r="R215" s="940"/>
      <c r="S215" s="940"/>
      <c r="T215" s="940"/>
      <c r="U215" s="940"/>
      <c r="V215" s="940"/>
      <c r="W215" s="940"/>
      <c r="X215" s="940"/>
    </row>
    <row r="216" spans="1:24" x14ac:dyDescent="0.3">
      <c r="A216" s="940"/>
      <c r="B216" s="940"/>
      <c r="C216" s="940"/>
      <c r="D216" s="940"/>
      <c r="E216" s="940"/>
      <c r="F216" s="940"/>
      <c r="G216" s="940"/>
      <c r="H216" s="940"/>
      <c r="I216" s="940"/>
      <c r="J216" s="940"/>
      <c r="K216" s="940"/>
      <c r="L216" s="940"/>
      <c r="M216" s="940"/>
      <c r="N216" s="940"/>
      <c r="O216" s="940"/>
      <c r="P216" s="940"/>
      <c r="Q216" s="940"/>
      <c r="R216" s="940"/>
      <c r="S216" s="940"/>
      <c r="T216" s="940"/>
      <c r="U216" s="940"/>
      <c r="V216" s="940"/>
      <c r="W216" s="940"/>
      <c r="X216" s="940"/>
    </row>
    <row r="217" spans="1:24" x14ac:dyDescent="0.3">
      <c r="A217" s="940"/>
      <c r="B217" s="940"/>
      <c r="C217" s="940"/>
      <c r="D217" s="940"/>
      <c r="E217" s="940"/>
      <c r="F217" s="940"/>
      <c r="G217" s="940"/>
      <c r="H217" s="940"/>
      <c r="I217" s="940"/>
      <c r="J217" s="940"/>
      <c r="K217" s="940"/>
      <c r="L217" s="940"/>
      <c r="M217" s="940"/>
      <c r="N217" s="940"/>
      <c r="O217" s="940"/>
      <c r="P217" s="940"/>
      <c r="Q217" s="940"/>
      <c r="R217" s="940"/>
      <c r="S217" s="940"/>
      <c r="T217" s="940"/>
      <c r="U217" s="940"/>
      <c r="V217" s="940"/>
      <c r="W217" s="940"/>
      <c r="X217" s="940"/>
    </row>
    <row r="218" spans="1:24" ht="14.5" x14ac:dyDescent="0.35">
      <c r="A218" s="940"/>
      <c r="B218" s="940"/>
      <c r="C218" s="940"/>
      <c r="D218" s="960"/>
      <c r="E218" s="960"/>
      <c r="F218" s="960"/>
      <c r="G218" s="960"/>
      <c r="H218" s="960"/>
      <c r="I218" s="960"/>
      <c r="J218" s="960"/>
      <c r="K218" s="960"/>
      <c r="L218" s="1362"/>
      <c r="M218" s="1362"/>
      <c r="N218" s="960"/>
      <c r="O218" s="960"/>
      <c r="P218" s="960"/>
      <c r="Q218" s="960"/>
      <c r="R218" s="962"/>
      <c r="S218" s="962"/>
      <c r="T218" s="1362"/>
      <c r="U218" s="1362"/>
      <c r="V218" s="961"/>
      <c r="W218" s="961"/>
      <c r="X218" s="961"/>
    </row>
    <row r="219" spans="1:24" x14ac:dyDescent="0.3">
      <c r="A219" s="940"/>
      <c r="B219" s="940"/>
      <c r="C219" s="940"/>
      <c r="D219" s="963"/>
      <c r="E219" s="963"/>
      <c r="F219" s="963"/>
      <c r="G219" s="963"/>
      <c r="H219" s="963"/>
      <c r="I219" s="963"/>
      <c r="J219" s="963"/>
      <c r="K219" s="963"/>
      <c r="L219" s="963"/>
      <c r="M219" s="963"/>
      <c r="N219" s="963"/>
      <c r="O219" s="963"/>
      <c r="P219" s="963"/>
      <c r="Q219" s="964"/>
      <c r="R219" s="964"/>
      <c r="S219" s="964"/>
      <c r="T219" s="964"/>
      <c r="U219" s="964"/>
      <c r="V219" s="964"/>
      <c r="W219" s="964"/>
      <c r="X219" s="964"/>
    </row>
    <row r="220" spans="1:24" x14ac:dyDescent="0.3">
      <c r="A220" s="939"/>
      <c r="B220" s="940"/>
      <c r="C220" s="965"/>
      <c r="D220" s="1362"/>
      <c r="E220" s="1362"/>
      <c r="F220" s="966"/>
      <c r="G220" s="966"/>
      <c r="H220" s="967"/>
      <c r="I220" s="967"/>
      <c r="J220" s="967"/>
      <c r="K220" s="967"/>
      <c r="L220" s="967"/>
      <c r="M220" s="967"/>
      <c r="N220" s="966"/>
      <c r="O220" s="966"/>
      <c r="P220" s="968"/>
      <c r="Q220" s="968"/>
      <c r="R220" s="969"/>
      <c r="S220" s="969"/>
      <c r="T220" s="968"/>
      <c r="U220" s="968"/>
      <c r="V220" s="968"/>
      <c r="W220" s="968"/>
      <c r="X220" s="970"/>
    </row>
    <row r="221" spans="1:24" x14ac:dyDescent="0.3">
      <c r="A221" s="940"/>
      <c r="B221" s="940"/>
      <c r="C221" s="971"/>
      <c r="D221" s="1362"/>
      <c r="E221" s="1362"/>
      <c r="F221" s="972"/>
      <c r="G221" s="972"/>
      <c r="H221" s="973"/>
      <c r="I221" s="973"/>
      <c r="J221" s="973"/>
      <c r="K221" s="973"/>
      <c r="L221" s="973"/>
      <c r="M221" s="973"/>
      <c r="N221" s="972"/>
      <c r="O221" s="972"/>
      <c r="P221" s="974"/>
      <c r="Q221" s="974"/>
      <c r="R221" s="975"/>
      <c r="S221" s="975"/>
      <c r="T221" s="974"/>
      <c r="U221" s="974"/>
      <c r="V221" s="974"/>
      <c r="W221" s="974"/>
      <c r="X221" s="974"/>
    </row>
    <row r="222" spans="1:24" x14ac:dyDescent="0.3">
      <c r="A222" s="940"/>
      <c r="B222" s="940"/>
      <c r="C222" s="965"/>
      <c r="D222" s="1362"/>
      <c r="E222" s="1362"/>
      <c r="F222" s="966"/>
      <c r="G222" s="966"/>
      <c r="H222" s="967"/>
      <c r="I222" s="967"/>
      <c r="J222" s="967"/>
      <c r="K222" s="967"/>
      <c r="L222" s="967"/>
      <c r="M222" s="967"/>
      <c r="N222" s="966"/>
      <c r="O222" s="966"/>
      <c r="P222" s="966"/>
      <c r="Q222" s="966"/>
      <c r="R222" s="967"/>
      <c r="S222" s="967"/>
      <c r="T222" s="966"/>
      <c r="U222" s="966"/>
      <c r="V222" s="966"/>
      <c r="W222" s="966"/>
      <c r="X222" s="976"/>
    </row>
    <row r="223" spans="1:24" x14ac:dyDescent="0.3">
      <c r="A223" s="940"/>
      <c r="B223" s="940"/>
      <c r="C223" s="971"/>
      <c r="D223" s="1362"/>
      <c r="E223" s="1362"/>
      <c r="F223" s="972"/>
      <c r="G223" s="972"/>
      <c r="H223" s="973"/>
      <c r="I223" s="973"/>
      <c r="J223" s="973"/>
      <c r="K223" s="973"/>
      <c r="L223" s="973"/>
      <c r="M223" s="973"/>
      <c r="N223" s="972"/>
      <c r="O223" s="972"/>
      <c r="P223" s="972"/>
      <c r="Q223" s="972"/>
      <c r="R223" s="973"/>
      <c r="S223" s="973"/>
      <c r="T223" s="972"/>
      <c r="U223" s="972"/>
      <c r="V223" s="972"/>
      <c r="W223" s="972"/>
      <c r="X223" s="972"/>
    </row>
    <row r="224" spans="1:24" x14ac:dyDescent="0.3">
      <c r="A224" s="940"/>
      <c r="B224" s="940"/>
      <c r="C224" s="963"/>
      <c r="D224" s="1362"/>
      <c r="E224" s="1362"/>
      <c r="F224" s="968"/>
      <c r="G224" s="968"/>
      <c r="H224" s="968"/>
      <c r="I224" s="968"/>
      <c r="J224" s="968"/>
      <c r="K224" s="968"/>
      <c r="L224" s="968"/>
      <c r="M224" s="968"/>
      <c r="N224" s="968"/>
      <c r="O224" s="968"/>
      <c r="P224" s="968"/>
      <c r="Q224" s="968"/>
      <c r="R224" s="969"/>
      <c r="S224" s="969"/>
      <c r="T224" s="968"/>
      <c r="U224" s="968"/>
      <c r="V224" s="968"/>
      <c r="W224" s="968"/>
      <c r="X224" s="968"/>
    </row>
    <row r="227" spans="1:5" x14ac:dyDescent="0.3">
      <c r="A227" s="845"/>
      <c r="C227" s="887"/>
    </row>
    <row r="228" spans="1:5" x14ac:dyDescent="0.3">
      <c r="B228" s="807"/>
      <c r="C228" s="807"/>
      <c r="D228" s="807"/>
      <c r="E228" s="906"/>
    </row>
    <row r="229" spans="1:5" x14ac:dyDescent="0.3">
      <c r="B229" s="807"/>
      <c r="C229" s="807"/>
      <c r="D229" s="807"/>
      <c r="E229" s="906"/>
    </row>
    <row r="230" spans="1:5" x14ac:dyDescent="0.3">
      <c r="B230" s="807"/>
      <c r="C230" s="807"/>
      <c r="D230" s="807"/>
      <c r="E230" s="906"/>
    </row>
    <row r="231" spans="1:5" x14ac:dyDescent="0.3">
      <c r="B231" s="807"/>
      <c r="C231" s="807"/>
      <c r="D231" s="807"/>
      <c r="E231" s="906"/>
    </row>
    <row r="232" spans="1:5" x14ac:dyDescent="0.3">
      <c r="B232" s="807"/>
      <c r="C232" s="807"/>
      <c r="D232" s="807"/>
      <c r="E232" s="906"/>
    </row>
    <row r="233" spans="1:5" x14ac:dyDescent="0.3">
      <c r="B233" s="807"/>
      <c r="C233" s="807"/>
      <c r="D233" s="807"/>
      <c r="E233" s="906"/>
    </row>
    <row r="234" spans="1:5" x14ac:dyDescent="0.3">
      <c r="B234" s="807"/>
      <c r="C234" s="807"/>
      <c r="D234" s="807"/>
      <c r="E234" s="906"/>
    </row>
    <row r="235" spans="1:5" x14ac:dyDescent="0.3">
      <c r="B235" s="807"/>
      <c r="C235" s="807"/>
      <c r="D235" s="807"/>
      <c r="E235" s="906"/>
    </row>
    <row r="236" spans="1:5" x14ac:dyDescent="0.3">
      <c r="B236" s="807"/>
      <c r="C236" s="807"/>
      <c r="D236" s="807"/>
      <c r="E236" s="906"/>
    </row>
    <row r="237" spans="1:5" x14ac:dyDescent="0.3">
      <c r="B237" s="807"/>
      <c r="C237" s="807"/>
      <c r="D237" s="807"/>
      <c r="E237" s="906"/>
    </row>
  </sheetData>
  <mergeCells count="7">
    <mergeCell ref="L218:M218"/>
    <mergeCell ref="T218:U218"/>
    <mergeCell ref="D223:E223"/>
    <mergeCell ref="D224:E224"/>
    <mergeCell ref="D220:E220"/>
    <mergeCell ref="D221:E221"/>
    <mergeCell ref="D222:E222"/>
  </mergeCells>
  <hyperlinks>
    <hyperlink ref="A82" r:id="rId1" display="https://www.routesdefrance.com/wp-content/uploads/2015/06/dossier-de-presse-ag-2015-usirf.pdf" xr:uid="{D75EEAF0-0FEE-498A-8B0F-B88C34722E14}"/>
    <hyperlink ref="A87" r:id="rId2" location=":~:text=Le%20co%C3%BBt%20de%20construction%20d%27une%20route%20simple%20%C3%A0%20double,communales%20ainsi%20que%20les%20d%C3%A9partementales." display="https://www.asphalte-evolution.fr/location-revetements-routiers_construction-routiere_informations-sur-la-construction-routiere_combien-coute-la-construction-dune-route.phtml - :~:text=Le%20co%C3%BBt%20de%20construction%20d%27une%20route%20simple%20%C3%A0%20double,communales%20ainsi%20que%20les%20d%C3%A9partementales." xr:uid="{C5F9487C-82F0-41DE-B04E-2FB748D090B4}"/>
    <hyperlink ref="A65" r:id="rId3" display="https://view.officeapps.live.com/op/view.aspx?src=https%3A%2F%2Fwww.statistiques.developpement-durable.gouv.fr%2Fmedia%2F7838%2Fdownload%3Finline&amp;wdOrigin=BROWSELINK" xr:uid="{21DB6FCA-801A-4C84-B82B-4681CB833A3A}"/>
    <hyperlink ref="A42" r:id="rId4" display="https://www.collectivites-locales.gouv.fr/files/Accueil/DESL/2025/BIS 192 - les d%C3%A9penses de voirie 2013-2023 v4.pdf" xr:uid="{C0698FD1-6FB9-4C66-ADE5-19431FC5B5B3}"/>
    <hyperlink ref="A69" r:id="rId5" display="https://view.officeapps.live.com/op/view.aspx?src=https%3A%2F%2Fwww.statistiques.developpement-durable.gouv.fr%2Fmedia%2F7838%2Fdownload%3Finline&amp;wdOrigin=BROWSELINK" xr:uid="{0C349A90-2F33-43FF-BCC3-295A1B18E32F}"/>
  </hyperlinks>
  <pageMargins left="0.7" right="0.7" top="0.75" bottom="0.75" header="0.3" footer="0.3"/>
  <pageSetup paperSize="9" orientation="portrait" r:id="rId6"/>
  <drawing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59A0-983F-42CA-81A0-1B40B849559F}">
  <sheetPr>
    <tabColor theme="2" tint="-9.9978637043366805E-2"/>
  </sheetPr>
  <dimension ref="A1:V181"/>
  <sheetViews>
    <sheetView zoomScale="55" zoomScaleNormal="55" workbookViewId="0">
      <pane ySplit="1" topLeftCell="A2" activePane="bottomLeft" state="frozen"/>
      <selection pane="bottomLeft" activeCell="H33" sqref="H33"/>
    </sheetView>
  </sheetViews>
  <sheetFormatPr baseColWidth="10" defaultColWidth="11.453125" defaultRowHeight="14.5" x14ac:dyDescent="0.35"/>
  <cols>
    <col min="1" max="1" width="34.7265625" customWidth="1"/>
    <col min="2" max="2" width="14.7265625" customWidth="1"/>
    <col min="8" max="8" width="11.54296875" bestFit="1" customWidth="1"/>
    <col min="9" max="13" width="12.453125" bestFit="1" customWidth="1"/>
    <col min="14" max="20" width="13.453125" bestFit="1" customWidth="1"/>
    <col min="22" max="22" width="18.1796875" customWidth="1"/>
  </cols>
  <sheetData>
    <row r="1" spans="1:20" ht="21" x14ac:dyDescent="0.35">
      <c r="A1" s="103" t="s">
        <v>413</v>
      </c>
      <c r="B1" s="103" t="s">
        <v>414</v>
      </c>
      <c r="C1" s="1" t="s">
        <v>1003</v>
      </c>
      <c r="H1" s="175">
        <v>2011</v>
      </c>
      <c r="I1" s="176">
        <v>2012</v>
      </c>
      <c r="J1" s="176">
        <v>2013</v>
      </c>
      <c r="K1" s="176">
        <v>2014</v>
      </c>
      <c r="L1" s="176">
        <v>2015</v>
      </c>
      <c r="M1" s="176">
        <v>2016</v>
      </c>
      <c r="N1" s="176">
        <v>2017</v>
      </c>
      <c r="O1" s="176">
        <v>2018</v>
      </c>
      <c r="P1" s="176">
        <v>2019</v>
      </c>
      <c r="Q1" s="176">
        <v>2020</v>
      </c>
      <c r="R1" s="176">
        <v>2021</v>
      </c>
      <c r="S1" s="176">
        <v>2022</v>
      </c>
      <c r="T1" s="177">
        <v>2023</v>
      </c>
    </row>
    <row r="3" spans="1:20" x14ac:dyDescent="0.35">
      <c r="C3" s="7" t="s">
        <v>416</v>
      </c>
    </row>
    <row r="4" spans="1:20" x14ac:dyDescent="0.35">
      <c r="C4" t="s">
        <v>1004</v>
      </c>
    </row>
    <row r="6" spans="1:20" x14ac:dyDescent="0.35">
      <c r="C6" s="7" t="s">
        <v>418</v>
      </c>
    </row>
    <row r="10" spans="1:20" ht="13.5" customHeight="1" x14ac:dyDescent="0.5">
      <c r="C10" s="52"/>
    </row>
    <row r="11" spans="1:20" ht="13.5" customHeight="1" x14ac:dyDescent="0.35">
      <c r="C11" s="7" t="s">
        <v>427</v>
      </c>
    </row>
    <row r="12" spans="1:20" ht="13.5" customHeight="1" x14ac:dyDescent="0.35">
      <c r="A12" t="s">
        <v>1005</v>
      </c>
      <c r="B12" s="102">
        <v>45645</v>
      </c>
      <c r="H12" s="11" t="s">
        <v>430</v>
      </c>
      <c r="N12" s="83"/>
    </row>
    <row r="13" spans="1:20" ht="13.5" customHeight="1" x14ac:dyDescent="0.35">
      <c r="C13" s="16"/>
      <c r="D13" s="17"/>
      <c r="E13" s="17" t="s">
        <v>431</v>
      </c>
      <c r="F13" s="23" t="s">
        <v>432</v>
      </c>
      <c r="G13" s="2"/>
      <c r="H13" s="181">
        <v>2011</v>
      </c>
      <c r="I13" s="182">
        <v>2012</v>
      </c>
      <c r="J13" s="182">
        <v>2013</v>
      </c>
      <c r="K13" s="182">
        <v>2014</v>
      </c>
      <c r="L13" s="182">
        <v>2015</v>
      </c>
      <c r="M13" s="182">
        <v>2016</v>
      </c>
      <c r="N13" s="45">
        <v>2017</v>
      </c>
      <c r="O13" s="45">
        <v>2018</v>
      </c>
      <c r="P13" s="45">
        <v>2019</v>
      </c>
      <c r="Q13" s="45">
        <v>2020</v>
      </c>
      <c r="R13" s="45">
        <v>2021</v>
      </c>
      <c r="S13" s="45">
        <v>2022</v>
      </c>
      <c r="T13" s="46">
        <v>2023</v>
      </c>
    </row>
    <row r="14" spans="1:20" x14ac:dyDescent="0.35">
      <c r="C14" s="36" t="s">
        <v>1006</v>
      </c>
      <c r="D14" s="19"/>
      <c r="E14" s="19"/>
      <c r="F14" s="24"/>
      <c r="G14" s="2"/>
      <c r="H14" s="208">
        <v>0</v>
      </c>
      <c r="I14" s="209">
        <v>1563.9422811463362</v>
      </c>
      <c r="J14" s="209">
        <v>1971.6501451072743</v>
      </c>
      <c r="K14" s="209">
        <v>1821.852125793921</v>
      </c>
      <c r="L14" s="209">
        <v>1727.9417681035673</v>
      </c>
      <c r="M14" s="28">
        <v>2126.5718080000011</v>
      </c>
      <c r="N14" s="215">
        <v>2443.2140806417365</v>
      </c>
      <c r="O14" s="215">
        <v>2125.8655574021905</v>
      </c>
      <c r="P14" s="215">
        <v>2035.6413242535925</v>
      </c>
      <c r="Q14" s="215">
        <v>1717.225363</v>
      </c>
      <c r="R14" s="215">
        <v>1688.1113589999995</v>
      </c>
      <c r="S14" s="216">
        <v>2110.6771530000015</v>
      </c>
      <c r="T14" s="217">
        <v>2157.1154809870568</v>
      </c>
    </row>
    <row r="15" spans="1:20" x14ac:dyDescent="0.35">
      <c r="C15" s="14" t="s">
        <v>1007</v>
      </c>
      <c r="D15" s="2"/>
      <c r="E15" s="2" t="s">
        <v>444</v>
      </c>
      <c r="F15" s="26"/>
      <c r="G15" s="2"/>
      <c r="H15" s="231">
        <v>0</v>
      </c>
      <c r="I15" s="232">
        <v>393.78199999999998</v>
      </c>
      <c r="J15" s="232">
        <v>421.55799999999999</v>
      </c>
      <c r="K15" s="232">
        <v>765.11900000000003</v>
      </c>
      <c r="L15" s="232">
        <v>647.36599999999999</v>
      </c>
      <c r="M15" s="233">
        <v>236.274</v>
      </c>
      <c r="N15" s="222">
        <v>615.67200000000003</v>
      </c>
      <c r="O15" s="222">
        <v>311.13499999999999</v>
      </c>
      <c r="P15" s="222">
        <v>285.54300000000001</v>
      </c>
      <c r="Q15" s="222">
        <v>417.99299999999999</v>
      </c>
      <c r="R15" s="222">
        <v>567.13400000000001</v>
      </c>
      <c r="S15" s="223">
        <v>742.94999999999993</v>
      </c>
      <c r="T15" s="218">
        <v>550.29999999999995</v>
      </c>
    </row>
    <row r="16" spans="1:20" x14ac:dyDescent="0.35">
      <c r="C16" s="20" t="s">
        <v>438</v>
      </c>
      <c r="D16" s="21"/>
      <c r="E16" s="21" t="s">
        <v>268</v>
      </c>
      <c r="F16" s="27"/>
      <c r="G16" s="2"/>
      <c r="H16" s="205">
        <v>0</v>
      </c>
      <c r="I16" s="206">
        <v>1170.1602811463363</v>
      </c>
      <c r="J16" s="206">
        <v>1550.0921451072743</v>
      </c>
      <c r="K16" s="206">
        <v>1056.7331257939209</v>
      </c>
      <c r="L16" s="206">
        <v>1080.5757681035673</v>
      </c>
      <c r="M16" s="183">
        <v>1890.2978080000012</v>
      </c>
      <c r="N16" s="221">
        <v>1827.5420806417364</v>
      </c>
      <c r="O16" s="221">
        <v>1814.7305574021905</v>
      </c>
      <c r="P16" s="221">
        <v>1750.0983242535926</v>
      </c>
      <c r="Q16" s="221">
        <v>1299.2323630000001</v>
      </c>
      <c r="R16" s="221">
        <v>1120.9773589999995</v>
      </c>
      <c r="S16" s="223">
        <v>1367.7271530000016</v>
      </c>
      <c r="T16" s="218">
        <v>1606.8154809870568</v>
      </c>
    </row>
    <row r="17" spans="1:20" x14ac:dyDescent="0.35">
      <c r="C17" s="20" t="s">
        <v>1008</v>
      </c>
      <c r="D17" s="21"/>
      <c r="E17" s="21" t="s">
        <v>1009</v>
      </c>
      <c r="F17" s="27"/>
      <c r="G17" s="2"/>
      <c r="H17" s="228"/>
      <c r="I17" s="229" t="e">
        <v>#DIV/0!</v>
      </c>
      <c r="J17" s="229">
        <v>0.32468360965793619</v>
      </c>
      <c r="K17" s="229">
        <v>-0.31827722040305573</v>
      </c>
      <c r="L17" s="229">
        <v>2.2562595727973811E-2</v>
      </c>
      <c r="M17" s="230">
        <v>0.74934314075681407</v>
      </c>
      <c r="N17" s="219">
        <v>-3.3198857393091141E-2</v>
      </c>
      <c r="O17" s="219">
        <v>-7.0102480130291855E-3</v>
      </c>
      <c r="P17" s="219">
        <v>-3.5615333022837148E-2</v>
      </c>
      <c r="Q17" s="219">
        <v>-0.25762321751029871</v>
      </c>
      <c r="R17" s="219">
        <v>-0.13720024922131691</v>
      </c>
      <c r="S17" s="219">
        <v>0.22012022992161273</v>
      </c>
      <c r="T17" s="220">
        <v>0.17480703476759518</v>
      </c>
    </row>
    <row r="18" spans="1:20" x14ac:dyDescent="0.35">
      <c r="C18" s="66" t="s">
        <v>320</v>
      </c>
      <c r="D18" s="39"/>
      <c r="E18" s="39" t="s">
        <v>444</v>
      </c>
      <c r="F18" s="67"/>
      <c r="G18" s="35"/>
      <c r="H18" s="224">
        <v>0</v>
      </c>
      <c r="I18" s="225">
        <v>1563.9422811463362</v>
      </c>
      <c r="J18" s="225">
        <v>1971.6501451072743</v>
      </c>
      <c r="K18" s="225">
        <v>1821.852125793921</v>
      </c>
      <c r="L18" s="225">
        <v>1727.9417681035673</v>
      </c>
      <c r="M18" s="32">
        <v>2126.5718080000011</v>
      </c>
      <c r="N18" s="226">
        <v>2443.2140806417365</v>
      </c>
      <c r="O18" s="226">
        <v>2125.8655574021905</v>
      </c>
      <c r="P18" s="226">
        <v>2035.6413242535928</v>
      </c>
      <c r="Q18" s="226">
        <v>1717.225363</v>
      </c>
      <c r="R18" s="226">
        <v>1688.1113589999995</v>
      </c>
      <c r="S18" s="226">
        <v>2110.6771530000015</v>
      </c>
      <c r="T18" s="227">
        <v>2157.1154809870568</v>
      </c>
    </row>
    <row r="20" spans="1:20" x14ac:dyDescent="0.35">
      <c r="C20" s="70" t="s">
        <v>1010</v>
      </c>
      <c r="D20" s="71" t="s">
        <v>1011</v>
      </c>
    </row>
    <row r="21" spans="1:20" ht="15" customHeight="1" x14ac:dyDescent="0.35"/>
    <row r="23" spans="1:20" x14ac:dyDescent="0.35">
      <c r="A23" s="144" t="s">
        <v>1012</v>
      </c>
      <c r="C23" t="s">
        <v>1013</v>
      </c>
    </row>
    <row r="24" spans="1:20" x14ac:dyDescent="0.35">
      <c r="C24" s="145" t="s">
        <v>1014</v>
      </c>
    </row>
    <row r="25" spans="1:20" x14ac:dyDescent="0.35">
      <c r="C25" s="145" t="s">
        <v>1015</v>
      </c>
    </row>
    <row r="26" spans="1:20" x14ac:dyDescent="0.35">
      <c r="C26" t="s">
        <v>1016</v>
      </c>
    </row>
    <row r="28" spans="1:20" x14ac:dyDescent="0.35">
      <c r="A28" s="144" t="s">
        <v>1017</v>
      </c>
      <c r="C28" t="s">
        <v>1018</v>
      </c>
    </row>
    <row r="29" spans="1:20" x14ac:dyDescent="0.35">
      <c r="C29" t="s">
        <v>1019</v>
      </c>
    </row>
    <row r="30" spans="1:20" x14ac:dyDescent="0.35">
      <c r="C30" t="s">
        <v>1020</v>
      </c>
    </row>
    <row r="31" spans="1:20" x14ac:dyDescent="0.35">
      <c r="C31" t="s">
        <v>1021</v>
      </c>
    </row>
    <row r="32" spans="1:20" x14ac:dyDescent="0.35">
      <c r="C32" t="s">
        <v>1022</v>
      </c>
    </row>
    <row r="34" spans="1:12" x14ac:dyDescent="0.35">
      <c r="C34" t="s">
        <v>1023</v>
      </c>
    </row>
    <row r="36" spans="1:12" x14ac:dyDescent="0.35">
      <c r="C36" t="s">
        <v>1024</v>
      </c>
    </row>
    <row r="38" spans="1:12" x14ac:dyDescent="0.35">
      <c r="A38" s="144" t="s">
        <v>1025</v>
      </c>
      <c r="C38" t="s">
        <v>1026</v>
      </c>
    </row>
    <row r="39" spans="1:12" x14ac:dyDescent="0.35">
      <c r="A39" s="144"/>
      <c r="C39" t="s">
        <v>1027</v>
      </c>
    </row>
    <row r="40" spans="1:12" x14ac:dyDescent="0.35">
      <c r="A40" s="144"/>
      <c r="C40" t="s">
        <v>1028</v>
      </c>
    </row>
    <row r="41" spans="1:12" x14ac:dyDescent="0.35">
      <c r="A41" s="144"/>
      <c r="C41" t="s">
        <v>1029</v>
      </c>
    </row>
    <row r="42" spans="1:12" x14ac:dyDescent="0.35">
      <c r="A42" s="144"/>
      <c r="C42" t="s">
        <v>1030</v>
      </c>
    </row>
    <row r="43" spans="1:12" x14ac:dyDescent="0.35">
      <c r="A43" s="144"/>
      <c r="C43" t="s">
        <v>1031</v>
      </c>
    </row>
    <row r="45" spans="1:12" x14ac:dyDescent="0.35">
      <c r="A45" s="144" t="s">
        <v>1032</v>
      </c>
      <c r="C45" s="15" t="s">
        <v>1033</v>
      </c>
    </row>
    <row r="46" spans="1:12" ht="78" customHeight="1" x14ac:dyDescent="0.35">
      <c r="A46" s="144" t="s">
        <v>1034</v>
      </c>
      <c r="C46" s="241" t="s">
        <v>1035</v>
      </c>
      <c r="D46" s="242" t="s">
        <v>1036</v>
      </c>
      <c r="E46" s="242" t="s">
        <v>1037</v>
      </c>
      <c r="F46" s="242" t="s">
        <v>1038</v>
      </c>
      <c r="G46" s="242" t="s">
        <v>1039</v>
      </c>
      <c r="H46" s="242" t="s">
        <v>1040</v>
      </c>
      <c r="I46" s="242" t="s">
        <v>1041</v>
      </c>
      <c r="J46" s="242" t="s">
        <v>1042</v>
      </c>
      <c r="K46" s="242" t="s">
        <v>1043</v>
      </c>
      <c r="L46" s="243" t="s">
        <v>1044</v>
      </c>
    </row>
    <row r="47" spans="1:12" x14ac:dyDescent="0.35">
      <c r="A47" s="144"/>
      <c r="C47" s="241" t="s">
        <v>1045</v>
      </c>
      <c r="D47" s="241" t="s">
        <v>1046</v>
      </c>
      <c r="E47" s="241" t="s">
        <v>1047</v>
      </c>
      <c r="F47" s="401">
        <v>4.1900000000000004</v>
      </c>
      <c r="G47" s="244">
        <v>2.78</v>
      </c>
      <c r="H47" s="244">
        <v>0.5</v>
      </c>
      <c r="I47" s="244">
        <v>14113</v>
      </c>
      <c r="J47" s="244">
        <v>32</v>
      </c>
      <c r="K47" s="244">
        <v>1971</v>
      </c>
      <c r="L47" s="241" t="s">
        <v>1048</v>
      </c>
    </row>
    <row r="48" spans="1:12" x14ac:dyDescent="0.35">
      <c r="A48" s="144"/>
      <c r="C48" s="241" t="s">
        <v>1049</v>
      </c>
      <c r="D48" s="241" t="s">
        <v>342</v>
      </c>
      <c r="E48" s="241" t="s">
        <v>1050</v>
      </c>
      <c r="F48" s="402">
        <v>5.48</v>
      </c>
      <c r="G48" s="244">
        <v>4.4400000000000004</v>
      </c>
      <c r="H48" s="244">
        <v>2.17</v>
      </c>
      <c r="I48" s="244">
        <v>31674</v>
      </c>
      <c r="J48" s="244">
        <v>44</v>
      </c>
      <c r="K48" s="244">
        <v>1401</v>
      </c>
      <c r="L48" s="241" t="s">
        <v>1051</v>
      </c>
    </row>
    <row r="49" spans="1:12" x14ac:dyDescent="0.35">
      <c r="A49" s="144"/>
      <c r="C49" s="241" t="s">
        <v>1052</v>
      </c>
      <c r="D49" s="241" t="s">
        <v>1053</v>
      </c>
      <c r="E49" s="241" t="s">
        <v>1054</v>
      </c>
      <c r="F49" s="402">
        <v>4.8600000000000003</v>
      </c>
      <c r="G49" s="244">
        <v>2.57</v>
      </c>
      <c r="H49" s="244">
        <v>1.28</v>
      </c>
      <c r="I49" s="244">
        <v>47974</v>
      </c>
      <c r="J49" s="244">
        <v>58</v>
      </c>
      <c r="K49" s="244">
        <v>536</v>
      </c>
      <c r="L49" s="241" t="s">
        <v>1055</v>
      </c>
    </row>
    <row r="50" spans="1:12" x14ac:dyDescent="0.35">
      <c r="A50" s="144"/>
      <c r="C50" s="241" t="s">
        <v>1056</v>
      </c>
      <c r="D50" s="241" t="s">
        <v>342</v>
      </c>
      <c r="E50" s="241" t="s">
        <v>1050</v>
      </c>
      <c r="F50" s="402">
        <v>4.75</v>
      </c>
      <c r="G50" s="244">
        <v>3.21</v>
      </c>
      <c r="H50" s="244">
        <v>0.99</v>
      </c>
      <c r="I50" s="244">
        <v>35246</v>
      </c>
      <c r="J50" s="244">
        <v>61</v>
      </c>
      <c r="K50" s="244">
        <v>911</v>
      </c>
      <c r="L50" s="241" t="s">
        <v>1057</v>
      </c>
    </row>
    <row r="51" spans="1:12" x14ac:dyDescent="0.35">
      <c r="A51" s="144"/>
      <c r="C51" s="241" t="s">
        <v>1058</v>
      </c>
      <c r="D51" s="241" t="s">
        <v>1059</v>
      </c>
      <c r="E51" s="241" t="s">
        <v>1060</v>
      </c>
      <c r="F51" s="402">
        <v>4.62</v>
      </c>
      <c r="G51" s="244">
        <v>1.33</v>
      </c>
      <c r="H51" s="244">
        <v>0.12</v>
      </c>
      <c r="I51" s="244">
        <v>44493</v>
      </c>
      <c r="J51" s="244">
        <v>699</v>
      </c>
      <c r="K51" s="244">
        <v>30</v>
      </c>
      <c r="L51" s="241" t="s">
        <v>1061</v>
      </c>
    </row>
    <row r="52" spans="1:12" x14ac:dyDescent="0.35">
      <c r="A52" s="144"/>
      <c r="C52" s="241" t="s">
        <v>1062</v>
      </c>
      <c r="D52" s="241" t="s">
        <v>342</v>
      </c>
      <c r="E52" s="241" t="s">
        <v>1063</v>
      </c>
      <c r="F52" s="402">
        <v>1.71</v>
      </c>
      <c r="G52" s="244">
        <v>1.1599999999999999</v>
      </c>
      <c r="H52" s="244">
        <v>0.57999999999999996</v>
      </c>
      <c r="I52" s="244">
        <v>5351</v>
      </c>
      <c r="J52" s="244">
        <v>343</v>
      </c>
      <c r="K52" s="244">
        <v>2169</v>
      </c>
      <c r="L52" s="241" t="s">
        <v>1064</v>
      </c>
    </row>
    <row r="53" spans="1:12" x14ac:dyDescent="0.35">
      <c r="A53" s="144"/>
      <c r="C53" s="241" t="s">
        <v>1065</v>
      </c>
      <c r="D53" s="241" t="s">
        <v>342</v>
      </c>
      <c r="E53" s="241" t="s">
        <v>1047</v>
      </c>
      <c r="F53" s="402">
        <v>3.34</v>
      </c>
      <c r="G53" s="244">
        <v>2.5499999999999998</v>
      </c>
      <c r="H53" s="244">
        <v>0.52</v>
      </c>
      <c r="I53" s="244" t="s">
        <v>1066</v>
      </c>
      <c r="J53" s="244" t="s">
        <v>1067</v>
      </c>
      <c r="K53" s="244" t="s">
        <v>1068</v>
      </c>
      <c r="L53" s="241" t="s">
        <v>1069</v>
      </c>
    </row>
    <row r="54" spans="1:12" x14ac:dyDescent="0.35">
      <c r="A54" s="144"/>
      <c r="C54" s="241" t="s">
        <v>1070</v>
      </c>
      <c r="D54" s="241" t="s">
        <v>342</v>
      </c>
      <c r="E54" s="241" t="s">
        <v>1047</v>
      </c>
      <c r="F54" s="402">
        <v>2.77</v>
      </c>
      <c r="G54" s="244">
        <v>2.5499999999999998</v>
      </c>
      <c r="H54" s="244">
        <v>0.89</v>
      </c>
      <c r="I54" s="244" t="s">
        <v>1071</v>
      </c>
      <c r="J54" s="244" t="s">
        <v>1072</v>
      </c>
      <c r="K54" s="244" t="s">
        <v>1073</v>
      </c>
      <c r="L54" s="241" t="s">
        <v>1074</v>
      </c>
    </row>
    <row r="55" spans="1:12" x14ac:dyDescent="0.35">
      <c r="A55" s="144"/>
      <c r="C55" s="241" t="s">
        <v>1075</v>
      </c>
      <c r="D55" s="241" t="s">
        <v>1076</v>
      </c>
      <c r="E55" s="241" t="s">
        <v>1047</v>
      </c>
      <c r="F55" s="402" t="s">
        <v>1077</v>
      </c>
      <c r="G55" s="244" t="s">
        <v>1077</v>
      </c>
      <c r="H55" s="244" t="s">
        <v>1077</v>
      </c>
      <c r="I55" s="244" t="s">
        <v>1077</v>
      </c>
      <c r="J55" s="244" t="s">
        <v>1077</v>
      </c>
      <c r="K55" s="244" t="s">
        <v>1077</v>
      </c>
      <c r="L55" s="241" t="s">
        <v>1077</v>
      </c>
    </row>
    <row r="56" spans="1:12" x14ac:dyDescent="0.35">
      <c r="A56" s="144"/>
      <c r="C56" s="241" t="s">
        <v>1078</v>
      </c>
      <c r="D56" s="241" t="s">
        <v>1076</v>
      </c>
      <c r="E56" s="241" t="s">
        <v>1079</v>
      </c>
      <c r="F56" s="402">
        <v>1.5</v>
      </c>
      <c r="G56" s="244">
        <v>0.83</v>
      </c>
      <c r="H56" s="244">
        <v>0.45</v>
      </c>
      <c r="I56" s="244" t="s">
        <v>1080</v>
      </c>
      <c r="J56" s="244" t="s">
        <v>1081</v>
      </c>
      <c r="K56" s="244" t="s">
        <v>1082</v>
      </c>
      <c r="L56" s="241" t="s">
        <v>1083</v>
      </c>
    </row>
    <row r="57" spans="1:12" x14ac:dyDescent="0.35">
      <c r="A57" s="144"/>
      <c r="C57" s="241" t="s">
        <v>1084</v>
      </c>
      <c r="D57" s="241" t="s">
        <v>1085</v>
      </c>
      <c r="E57" s="241" t="s">
        <v>1050</v>
      </c>
      <c r="F57" s="402">
        <v>4.5199999999999996</v>
      </c>
      <c r="G57" s="244">
        <v>1.97</v>
      </c>
      <c r="H57" s="244">
        <v>1.9</v>
      </c>
      <c r="I57" s="244" t="s">
        <v>1086</v>
      </c>
      <c r="J57" s="244" t="s">
        <v>1087</v>
      </c>
      <c r="K57" s="244" t="s">
        <v>1088</v>
      </c>
      <c r="L57" s="241" t="s">
        <v>1089</v>
      </c>
    </row>
    <row r="58" spans="1:12" x14ac:dyDescent="0.35">
      <c r="A58" s="144"/>
      <c r="C58" s="241" t="s">
        <v>1090</v>
      </c>
      <c r="D58" s="241" t="s">
        <v>1085</v>
      </c>
      <c r="E58" s="241" t="s">
        <v>1091</v>
      </c>
      <c r="F58" s="402">
        <v>1.1100000000000001</v>
      </c>
      <c r="G58" s="244">
        <v>1.1100000000000001</v>
      </c>
      <c r="H58" s="244">
        <v>1.06</v>
      </c>
      <c r="I58" s="244" t="s">
        <v>1092</v>
      </c>
      <c r="J58" s="244" t="s">
        <v>1093</v>
      </c>
      <c r="K58" s="244" t="s">
        <v>1094</v>
      </c>
      <c r="L58" s="241" t="s">
        <v>1095</v>
      </c>
    </row>
    <row r="59" spans="1:12" x14ac:dyDescent="0.35">
      <c r="A59" s="144"/>
      <c r="C59" s="241" t="s">
        <v>1096</v>
      </c>
      <c r="D59" s="241" t="s">
        <v>1085</v>
      </c>
      <c r="E59" s="241" t="s">
        <v>1097</v>
      </c>
      <c r="F59" s="402">
        <v>1.32</v>
      </c>
      <c r="G59" s="244">
        <v>1.18</v>
      </c>
      <c r="H59" s="244">
        <v>1.1200000000000001</v>
      </c>
      <c r="I59" s="244" t="s">
        <v>1098</v>
      </c>
      <c r="J59" s="244" t="s">
        <v>1099</v>
      </c>
      <c r="K59" s="244" t="s">
        <v>1100</v>
      </c>
      <c r="L59" s="241" t="s">
        <v>1101</v>
      </c>
    </row>
    <row r="60" spans="1:12" x14ac:dyDescent="0.35">
      <c r="A60" s="144"/>
      <c r="C60" s="241" t="s">
        <v>1102</v>
      </c>
      <c r="D60" s="241" t="s">
        <v>1103</v>
      </c>
      <c r="E60" s="241" t="s">
        <v>1104</v>
      </c>
      <c r="F60" s="402">
        <v>4.3899999999999997</v>
      </c>
      <c r="G60" s="244">
        <v>2.09</v>
      </c>
      <c r="H60" s="244" t="s">
        <v>1072</v>
      </c>
      <c r="I60" s="244" t="s">
        <v>1105</v>
      </c>
      <c r="J60" s="244" t="s">
        <v>1106</v>
      </c>
      <c r="K60" s="244" t="s">
        <v>1107</v>
      </c>
      <c r="L60" s="241" t="s">
        <v>1108</v>
      </c>
    </row>
    <row r="61" spans="1:12" x14ac:dyDescent="0.35">
      <c r="A61" s="144"/>
      <c r="C61" s="241" t="s">
        <v>1109</v>
      </c>
      <c r="D61" s="241" t="s">
        <v>1110</v>
      </c>
      <c r="E61" s="241" t="s">
        <v>1111</v>
      </c>
      <c r="F61" s="402">
        <v>20.52</v>
      </c>
      <c r="G61" s="244">
        <v>19.170000000000002</v>
      </c>
      <c r="H61" s="244">
        <v>0</v>
      </c>
      <c r="I61" s="244" t="s">
        <v>1112</v>
      </c>
      <c r="J61" s="244" t="s">
        <v>1113</v>
      </c>
      <c r="K61" s="244" t="s">
        <v>1114</v>
      </c>
      <c r="L61" s="241" t="s">
        <v>1115</v>
      </c>
    </row>
    <row r="62" spans="1:12" x14ac:dyDescent="0.35">
      <c r="A62" s="144"/>
      <c r="C62" s="241" t="s">
        <v>1116</v>
      </c>
      <c r="D62" s="241" t="s">
        <v>1110</v>
      </c>
      <c r="E62" s="241" t="s">
        <v>1111</v>
      </c>
      <c r="F62" s="402">
        <v>19.559999999999999</v>
      </c>
      <c r="G62" s="244">
        <v>18.57</v>
      </c>
      <c r="H62" s="244">
        <v>0</v>
      </c>
      <c r="I62" s="244" t="s">
        <v>1117</v>
      </c>
      <c r="J62" s="244" t="s">
        <v>1118</v>
      </c>
      <c r="K62" s="244" t="s">
        <v>1119</v>
      </c>
      <c r="L62" s="241" t="s">
        <v>1120</v>
      </c>
    </row>
    <row r="63" spans="1:12" x14ac:dyDescent="0.35">
      <c r="A63" s="144"/>
      <c r="C63" s="241" t="s">
        <v>1121</v>
      </c>
      <c r="D63" s="241" t="s">
        <v>1110</v>
      </c>
      <c r="E63" s="241" t="s">
        <v>1122</v>
      </c>
      <c r="F63" s="402">
        <v>19.850000000000001</v>
      </c>
      <c r="G63" s="244">
        <v>16</v>
      </c>
      <c r="H63" s="244">
        <v>0</v>
      </c>
      <c r="I63" s="244" t="s">
        <v>1123</v>
      </c>
      <c r="J63" s="244" t="s">
        <v>1087</v>
      </c>
      <c r="K63" s="244" t="s">
        <v>1124</v>
      </c>
      <c r="L63" s="241" t="s">
        <v>1125</v>
      </c>
    </row>
    <row r="64" spans="1:12" x14ac:dyDescent="0.35">
      <c r="A64" s="144"/>
      <c r="C64" s="241" t="s">
        <v>1126</v>
      </c>
      <c r="D64" s="241" t="s">
        <v>1110</v>
      </c>
      <c r="E64" s="241" t="s">
        <v>1122</v>
      </c>
      <c r="F64" s="402">
        <v>23.52</v>
      </c>
      <c r="G64" s="244">
        <v>16</v>
      </c>
      <c r="H64" s="244">
        <v>0</v>
      </c>
      <c r="I64" s="244" t="s">
        <v>1127</v>
      </c>
      <c r="J64" s="244" t="s">
        <v>1106</v>
      </c>
      <c r="K64" s="244" t="s">
        <v>1128</v>
      </c>
      <c r="L64" s="241" t="s">
        <v>1129</v>
      </c>
    </row>
    <row r="65" spans="1:11" ht="15.65" customHeight="1" x14ac:dyDescent="0.35">
      <c r="A65" s="144"/>
      <c r="F65" s="400">
        <f>SUM(F47:F64)</f>
        <v>128.01000000000002</v>
      </c>
      <c r="G65" s="83">
        <f>SUM(G47:G64)</f>
        <v>97.509999999999991</v>
      </c>
      <c r="H65" s="83">
        <f>SUM(H47:H64)</f>
        <v>11.580000000000002</v>
      </c>
      <c r="I65" s="83"/>
      <c r="J65" s="83"/>
      <c r="K65" s="83"/>
    </row>
    <row r="66" spans="1:11" ht="15.65" customHeight="1" x14ac:dyDescent="0.35">
      <c r="A66" s="144"/>
      <c r="F66" s="83"/>
      <c r="G66" s="83">
        <f>G65-H65</f>
        <v>85.929999999999993</v>
      </c>
      <c r="H66" s="83"/>
      <c r="I66" s="83"/>
      <c r="J66" s="83"/>
      <c r="K66" s="83"/>
    </row>
    <row r="67" spans="1:11" ht="15.65" customHeight="1" x14ac:dyDescent="0.35">
      <c r="A67" s="144"/>
      <c r="F67" s="83"/>
      <c r="G67" s="83">
        <f>G66/150</f>
        <v>0.57286666666666664</v>
      </c>
      <c r="H67" s="83">
        <f>150-G66</f>
        <v>64.070000000000007</v>
      </c>
      <c r="I67" s="83"/>
      <c r="J67" s="83"/>
      <c r="K67" s="83"/>
    </row>
    <row r="68" spans="1:11" ht="15.65" customHeight="1" x14ac:dyDescent="0.35">
      <c r="A68" s="144"/>
      <c r="F68" s="83"/>
      <c r="G68" s="83"/>
      <c r="H68" s="83"/>
      <c r="I68" s="83"/>
      <c r="J68" s="83"/>
      <c r="K68" s="83"/>
    </row>
    <row r="69" spans="1:11" ht="15.65" customHeight="1" x14ac:dyDescent="0.35">
      <c r="A69" s="144"/>
      <c r="F69" s="83"/>
      <c r="G69" s="83"/>
      <c r="H69" s="83"/>
      <c r="I69" s="83"/>
      <c r="J69" s="83"/>
      <c r="K69" s="83"/>
    </row>
    <row r="70" spans="1:11" ht="15.65" customHeight="1" x14ac:dyDescent="0.35">
      <c r="A70" s="144"/>
      <c r="F70" s="83"/>
      <c r="G70" s="83"/>
      <c r="H70" s="83"/>
      <c r="I70" s="83"/>
      <c r="J70" s="83"/>
      <c r="K70" s="83"/>
    </row>
    <row r="71" spans="1:11" x14ac:dyDescent="0.35">
      <c r="A71" s="144" t="s">
        <v>1130</v>
      </c>
      <c r="C71" s="15" t="s">
        <v>1131</v>
      </c>
      <c r="F71" s="83"/>
      <c r="G71" s="83"/>
      <c r="H71" s="83"/>
      <c r="I71" s="83"/>
      <c r="J71" s="83"/>
      <c r="K71" s="83"/>
    </row>
    <row r="72" spans="1:11" x14ac:dyDescent="0.35">
      <c r="A72" s="144"/>
      <c r="C72" s="243" t="s">
        <v>1003</v>
      </c>
      <c r="D72" s="243" t="s">
        <v>1132</v>
      </c>
      <c r="E72" s="243" t="s">
        <v>1133</v>
      </c>
      <c r="F72" s="243" t="s">
        <v>1134</v>
      </c>
      <c r="G72" s="15"/>
      <c r="H72" s="15"/>
      <c r="I72" s="15"/>
    </row>
    <row r="73" spans="1:11" x14ac:dyDescent="0.35">
      <c r="A73" s="144"/>
      <c r="C73" s="241" t="s">
        <v>1135</v>
      </c>
      <c r="D73" s="241">
        <v>1934460</v>
      </c>
      <c r="E73" s="241">
        <v>989450</v>
      </c>
      <c r="F73" s="241">
        <v>51</v>
      </c>
    </row>
    <row r="74" spans="1:11" x14ac:dyDescent="0.35">
      <c r="A74" s="144"/>
      <c r="C74" s="241" t="s">
        <v>1136</v>
      </c>
      <c r="D74" s="241">
        <v>244743</v>
      </c>
      <c r="E74" s="241">
        <v>56516</v>
      </c>
      <c r="F74" s="241">
        <v>23</v>
      </c>
    </row>
    <row r="75" spans="1:11" x14ac:dyDescent="0.35">
      <c r="A75" s="144"/>
      <c r="C75" s="241" t="s">
        <v>1137</v>
      </c>
      <c r="D75" s="241">
        <v>431180</v>
      </c>
      <c r="E75" s="241">
        <v>280684</v>
      </c>
      <c r="F75" s="241">
        <v>65</v>
      </c>
    </row>
    <row r="76" spans="1:11" x14ac:dyDescent="0.35">
      <c r="A76" s="144"/>
      <c r="C76" s="241" t="s">
        <v>1138</v>
      </c>
      <c r="D76" s="241">
        <v>1206400</v>
      </c>
      <c r="E76" s="241">
        <v>560930</v>
      </c>
      <c r="F76" s="241">
        <v>46</v>
      </c>
    </row>
    <row r="77" spans="1:11" x14ac:dyDescent="0.35">
      <c r="A77" s="144"/>
      <c r="C77" s="241" t="s">
        <v>1139</v>
      </c>
      <c r="D77" s="241">
        <v>848665</v>
      </c>
      <c r="E77" s="241">
        <v>327962</v>
      </c>
      <c r="F77" s="241">
        <v>39</v>
      </c>
    </row>
    <row r="78" spans="1:11" x14ac:dyDescent="0.35">
      <c r="A78" s="144"/>
      <c r="C78" s="241" t="s">
        <v>1140</v>
      </c>
      <c r="D78" s="241">
        <v>507199</v>
      </c>
      <c r="E78" s="241">
        <v>392272</v>
      </c>
      <c r="F78" s="241">
        <v>77</v>
      </c>
    </row>
    <row r="79" spans="1:11" x14ac:dyDescent="0.35">
      <c r="A79" s="144"/>
    </row>
    <row r="80" spans="1:11" x14ac:dyDescent="0.35">
      <c r="A80" s="144" t="s">
        <v>1141</v>
      </c>
      <c r="C80" s="243" t="s">
        <v>1142</v>
      </c>
    </row>
    <row r="81" spans="1:6" x14ac:dyDescent="0.35">
      <c r="A81" s="144"/>
      <c r="C81" s="243" t="s">
        <v>1143</v>
      </c>
      <c r="D81" s="243" t="s">
        <v>1144</v>
      </c>
      <c r="E81" s="243" t="s">
        <v>1145</v>
      </c>
      <c r="F81" s="243" t="s">
        <v>1146</v>
      </c>
    </row>
    <row r="82" spans="1:6" x14ac:dyDescent="0.35">
      <c r="A82" s="144"/>
      <c r="C82" s="241" t="s">
        <v>1147</v>
      </c>
      <c r="D82" s="241" t="s">
        <v>1148</v>
      </c>
      <c r="E82" s="241">
        <v>653813</v>
      </c>
      <c r="F82" s="241">
        <v>429</v>
      </c>
    </row>
    <row r="83" spans="1:6" x14ac:dyDescent="0.35">
      <c r="A83" s="144"/>
      <c r="C83" s="241" t="s">
        <v>1149</v>
      </c>
      <c r="D83" s="241" t="s">
        <v>1148</v>
      </c>
      <c r="E83" s="241">
        <v>566527</v>
      </c>
      <c r="F83" s="241">
        <v>416</v>
      </c>
    </row>
    <row r="84" spans="1:6" x14ac:dyDescent="0.35">
      <c r="A84" s="144"/>
      <c r="C84" s="241" t="s">
        <v>1147</v>
      </c>
      <c r="D84" s="241" t="s">
        <v>1150</v>
      </c>
      <c r="E84" s="241">
        <v>556880</v>
      </c>
      <c r="F84" s="241">
        <v>347</v>
      </c>
    </row>
    <row r="85" spans="1:6" x14ac:dyDescent="0.35">
      <c r="A85" s="144"/>
      <c r="C85" s="241" t="s">
        <v>1147</v>
      </c>
      <c r="D85" s="241" t="s">
        <v>1151</v>
      </c>
      <c r="E85" s="241">
        <v>465694</v>
      </c>
      <c r="F85" s="241">
        <v>258</v>
      </c>
    </row>
    <row r="86" spans="1:6" x14ac:dyDescent="0.35">
      <c r="A86" s="144"/>
      <c r="C86" s="241" t="s">
        <v>1149</v>
      </c>
      <c r="D86" s="241" t="s">
        <v>1150</v>
      </c>
      <c r="E86" s="241">
        <v>159492</v>
      </c>
      <c r="F86" s="241">
        <v>102</v>
      </c>
    </row>
    <row r="87" spans="1:6" x14ac:dyDescent="0.35">
      <c r="A87" s="144"/>
      <c r="C87" s="241" t="s">
        <v>1147</v>
      </c>
      <c r="D87" s="241" t="s">
        <v>1152</v>
      </c>
      <c r="E87" s="241">
        <v>148908</v>
      </c>
      <c r="F87" s="241">
        <v>16</v>
      </c>
    </row>
    <row r="88" spans="1:6" x14ac:dyDescent="0.35">
      <c r="A88" s="144"/>
      <c r="C88" s="241" t="s">
        <v>1149</v>
      </c>
      <c r="D88" s="241" t="s">
        <v>1151</v>
      </c>
      <c r="E88" s="241">
        <v>101186</v>
      </c>
      <c r="F88" s="241">
        <v>41</v>
      </c>
    </row>
    <row r="89" spans="1:6" x14ac:dyDescent="0.35">
      <c r="A89" s="144"/>
      <c r="C89" s="241" t="s">
        <v>1150</v>
      </c>
      <c r="D89" s="241" t="s">
        <v>1153</v>
      </c>
      <c r="E89" s="241">
        <v>59497</v>
      </c>
      <c r="F89" s="241">
        <v>46</v>
      </c>
    </row>
    <row r="90" spans="1:6" x14ac:dyDescent="0.35">
      <c r="A90" s="144"/>
      <c r="C90" s="241" t="s">
        <v>1149</v>
      </c>
      <c r="D90" s="241" t="s">
        <v>1153</v>
      </c>
      <c r="E90" s="241">
        <v>887018</v>
      </c>
      <c r="F90" s="241">
        <v>695</v>
      </c>
    </row>
    <row r="91" spans="1:6" x14ac:dyDescent="0.35">
      <c r="A91" s="144"/>
      <c r="C91" s="241" t="s">
        <v>1147</v>
      </c>
      <c r="D91" s="241" t="s">
        <v>1153</v>
      </c>
      <c r="E91" s="241">
        <v>684158</v>
      </c>
      <c r="F91" s="241">
        <v>652</v>
      </c>
    </row>
    <row r="92" spans="1:6" x14ac:dyDescent="0.35">
      <c r="A92" s="144"/>
      <c r="C92" s="241" t="s">
        <v>1149</v>
      </c>
      <c r="D92" s="241" t="s">
        <v>1154</v>
      </c>
      <c r="E92" s="241">
        <v>562391</v>
      </c>
      <c r="F92" s="241">
        <v>433</v>
      </c>
    </row>
    <row r="93" spans="1:6" x14ac:dyDescent="0.35">
      <c r="A93" s="144"/>
      <c r="C93" s="241" t="s">
        <v>1147</v>
      </c>
      <c r="D93" s="241" t="s">
        <v>1154</v>
      </c>
      <c r="E93" s="241">
        <v>427264</v>
      </c>
      <c r="F93" s="241">
        <v>333</v>
      </c>
    </row>
    <row r="94" spans="1:6" x14ac:dyDescent="0.35">
      <c r="A94" s="144"/>
      <c r="C94" s="241" t="s">
        <v>1149</v>
      </c>
      <c r="D94" s="241" t="s">
        <v>1155</v>
      </c>
      <c r="E94" s="241">
        <v>336978</v>
      </c>
      <c r="F94" s="241">
        <v>294</v>
      </c>
    </row>
    <row r="95" spans="1:6" x14ac:dyDescent="0.35">
      <c r="A95" s="144"/>
      <c r="C95" s="241" t="s">
        <v>1149</v>
      </c>
      <c r="D95" s="241" t="s">
        <v>1156</v>
      </c>
      <c r="E95" s="241">
        <v>294002</v>
      </c>
      <c r="F95" s="241">
        <v>226</v>
      </c>
    </row>
    <row r="96" spans="1:6" x14ac:dyDescent="0.35">
      <c r="A96" s="144"/>
      <c r="C96" s="241" t="s">
        <v>1147</v>
      </c>
      <c r="D96" s="241" t="s">
        <v>1156</v>
      </c>
      <c r="E96" s="241">
        <v>268131</v>
      </c>
      <c r="F96" s="241">
        <v>183</v>
      </c>
    </row>
    <row r="97" spans="1:6" x14ac:dyDescent="0.35">
      <c r="A97" s="144"/>
      <c r="C97" s="241" t="s">
        <v>1150</v>
      </c>
      <c r="D97" s="241" t="s">
        <v>1152</v>
      </c>
      <c r="E97" s="241">
        <v>180319</v>
      </c>
      <c r="F97" s="241">
        <v>146</v>
      </c>
    </row>
    <row r="98" spans="1:6" x14ac:dyDescent="0.35">
      <c r="A98" s="144"/>
      <c r="C98" s="241" t="s">
        <v>1147</v>
      </c>
      <c r="D98" s="241" t="s">
        <v>1157</v>
      </c>
      <c r="E98" s="241">
        <v>175689</v>
      </c>
      <c r="F98" s="241">
        <v>129</v>
      </c>
    </row>
    <row r="99" spans="1:6" x14ac:dyDescent="0.35">
      <c r="A99" s="144"/>
      <c r="C99" s="241" t="s">
        <v>1147</v>
      </c>
      <c r="D99" s="241" t="s">
        <v>1158</v>
      </c>
      <c r="E99" s="241">
        <v>145182</v>
      </c>
      <c r="F99" s="241">
        <v>195</v>
      </c>
    </row>
    <row r="100" spans="1:6" x14ac:dyDescent="0.35">
      <c r="A100" s="144"/>
      <c r="C100" s="241" t="s">
        <v>1150</v>
      </c>
      <c r="D100" s="241" t="s">
        <v>1159</v>
      </c>
      <c r="E100" s="241">
        <v>110933</v>
      </c>
      <c r="F100" s="241">
        <v>77</v>
      </c>
    </row>
    <row r="101" spans="1:6" x14ac:dyDescent="0.35">
      <c r="A101" s="144"/>
      <c r="C101" s="241" t="s">
        <v>1149</v>
      </c>
      <c r="D101" s="241" t="s">
        <v>1157</v>
      </c>
      <c r="E101" s="241">
        <v>105413</v>
      </c>
      <c r="F101" s="241">
        <v>82</v>
      </c>
    </row>
    <row r="102" spans="1:6" x14ac:dyDescent="0.35">
      <c r="A102" s="144"/>
      <c r="C102" s="241" t="s">
        <v>1160</v>
      </c>
      <c r="D102" s="241" t="s">
        <v>1151</v>
      </c>
      <c r="E102" s="241">
        <v>104366</v>
      </c>
      <c r="F102" s="241">
        <v>88</v>
      </c>
    </row>
    <row r="103" spans="1:6" x14ac:dyDescent="0.35">
      <c r="A103" s="144"/>
      <c r="C103" s="241" t="s">
        <v>1160</v>
      </c>
      <c r="D103" s="241" t="s">
        <v>1150</v>
      </c>
      <c r="E103" s="241">
        <v>86192</v>
      </c>
      <c r="F103" s="241">
        <v>84</v>
      </c>
    </row>
    <row r="104" spans="1:6" x14ac:dyDescent="0.35">
      <c r="A104" s="144"/>
      <c r="C104" s="241" t="s">
        <v>1149</v>
      </c>
      <c r="D104" s="241" t="s">
        <v>1158</v>
      </c>
      <c r="E104" s="241">
        <v>81370</v>
      </c>
      <c r="F104" s="241">
        <v>62</v>
      </c>
    </row>
    <row r="105" spans="1:6" x14ac:dyDescent="0.35">
      <c r="A105" s="144"/>
      <c r="C105" s="241" t="s">
        <v>1147</v>
      </c>
      <c r="D105" s="241" t="s">
        <v>1161</v>
      </c>
      <c r="E105" s="241">
        <v>58467</v>
      </c>
      <c r="F105" s="241">
        <v>53</v>
      </c>
    </row>
    <row r="106" spans="1:6" x14ac:dyDescent="0.35">
      <c r="A106" s="144"/>
      <c r="C106" s="241" t="s">
        <v>1150</v>
      </c>
      <c r="D106" s="241" t="s">
        <v>1136</v>
      </c>
      <c r="E106" s="241">
        <v>58071</v>
      </c>
      <c r="F106" s="241">
        <v>49</v>
      </c>
    </row>
    <row r="107" spans="1:6" x14ac:dyDescent="0.35">
      <c r="A107" s="144"/>
      <c r="C107" s="241" t="s">
        <v>1147</v>
      </c>
      <c r="D107" s="241" t="s">
        <v>1155</v>
      </c>
      <c r="E107" s="241">
        <v>54712</v>
      </c>
      <c r="F107" s="241">
        <v>59</v>
      </c>
    </row>
    <row r="108" spans="1:6" x14ac:dyDescent="0.35">
      <c r="A108" s="144"/>
      <c r="C108" s="241" t="s">
        <v>1149</v>
      </c>
      <c r="D108" s="241" t="s">
        <v>1162</v>
      </c>
      <c r="E108" s="241">
        <v>48928</v>
      </c>
      <c r="F108" s="241">
        <v>4</v>
      </c>
    </row>
    <row r="109" spans="1:6" x14ac:dyDescent="0.35">
      <c r="A109" s="144"/>
      <c r="C109" s="241" t="s">
        <v>1149</v>
      </c>
      <c r="D109" s="241" t="s">
        <v>1163</v>
      </c>
      <c r="E109" s="241">
        <v>11683</v>
      </c>
      <c r="F109" s="241">
        <v>12</v>
      </c>
    </row>
    <row r="110" spans="1:6" x14ac:dyDescent="0.35">
      <c r="A110" s="144"/>
      <c r="C110" s="241" t="s">
        <v>1160</v>
      </c>
      <c r="D110" s="241" t="s">
        <v>1159</v>
      </c>
      <c r="E110" s="241">
        <v>10902</v>
      </c>
      <c r="F110" s="241">
        <v>13</v>
      </c>
    </row>
    <row r="111" spans="1:6" x14ac:dyDescent="0.35">
      <c r="A111" s="144"/>
    </row>
    <row r="112" spans="1:6" x14ac:dyDescent="0.35">
      <c r="A112" s="144" t="s">
        <v>1164</v>
      </c>
      <c r="C112" s="15" t="s">
        <v>1165</v>
      </c>
    </row>
    <row r="113" spans="1:10" ht="58" x14ac:dyDescent="0.35">
      <c r="A113" s="144"/>
      <c r="C113" s="241" t="s">
        <v>1035</v>
      </c>
      <c r="D113" s="242" t="s">
        <v>1166</v>
      </c>
      <c r="E113" s="242" t="s">
        <v>1167</v>
      </c>
      <c r="F113" s="242" t="s">
        <v>1168</v>
      </c>
      <c r="G113" s="242" t="s">
        <v>1169</v>
      </c>
      <c r="H113" s="242" t="s">
        <v>1170</v>
      </c>
      <c r="I113" s="15"/>
    </row>
    <row r="114" spans="1:10" x14ac:dyDescent="0.35">
      <c r="A114" s="144"/>
      <c r="C114" s="241" t="s">
        <v>1171</v>
      </c>
      <c r="D114" s="241">
        <v>13</v>
      </c>
      <c r="E114" s="241">
        <v>92</v>
      </c>
      <c r="F114" s="241">
        <v>17956</v>
      </c>
      <c r="G114" s="241">
        <v>90</v>
      </c>
      <c r="H114" s="241">
        <v>2459726</v>
      </c>
    </row>
    <row r="115" spans="1:10" x14ac:dyDescent="0.35">
      <c r="A115" s="144"/>
      <c r="C115" s="241" t="s">
        <v>1172</v>
      </c>
      <c r="D115" s="241">
        <v>7</v>
      </c>
      <c r="E115" s="241">
        <v>346</v>
      </c>
      <c r="F115" s="241">
        <v>24807</v>
      </c>
      <c r="G115" s="241">
        <v>3956</v>
      </c>
      <c r="H115" s="241">
        <v>10336250</v>
      </c>
    </row>
    <row r="116" spans="1:10" x14ac:dyDescent="0.35">
      <c r="A116" s="144"/>
      <c r="C116" s="241" t="s">
        <v>1173</v>
      </c>
      <c r="D116" s="241">
        <v>19</v>
      </c>
      <c r="E116" s="241">
        <v>145</v>
      </c>
      <c r="F116" s="241">
        <v>29684</v>
      </c>
      <c r="G116" s="241">
        <v>409</v>
      </c>
      <c r="H116" s="241">
        <v>6453022</v>
      </c>
    </row>
    <row r="117" spans="1:10" x14ac:dyDescent="0.35">
      <c r="A117" s="144"/>
      <c r="C117" s="241" t="s">
        <v>1174</v>
      </c>
      <c r="D117" s="241">
        <v>1</v>
      </c>
      <c r="E117" s="241">
        <v>96</v>
      </c>
      <c r="F117" s="241">
        <v>2754</v>
      </c>
      <c r="G117" s="241">
        <v>8351</v>
      </c>
      <c r="H117" s="241">
        <v>5620408</v>
      </c>
    </row>
    <row r="118" spans="1:10" x14ac:dyDescent="0.35">
      <c r="A118" s="144"/>
      <c r="C118" s="241" t="s">
        <v>1175</v>
      </c>
      <c r="D118" s="241">
        <v>12</v>
      </c>
      <c r="E118" s="241">
        <v>161</v>
      </c>
      <c r="F118" s="241">
        <v>1931</v>
      </c>
      <c r="G118" s="241">
        <v>65</v>
      </c>
      <c r="H118" s="241">
        <v>5218919</v>
      </c>
    </row>
    <row r="119" spans="1:10" x14ac:dyDescent="0.35">
      <c r="A119" s="144"/>
    </row>
    <row r="120" spans="1:10" x14ac:dyDescent="0.35">
      <c r="A120" s="144" t="s">
        <v>1176</v>
      </c>
      <c r="C120" s="15" t="s">
        <v>1165</v>
      </c>
    </row>
    <row r="121" spans="1:10" ht="72.5" x14ac:dyDescent="0.35">
      <c r="A121" s="144"/>
      <c r="C121" s="241" t="s">
        <v>1035</v>
      </c>
      <c r="D121" s="242" t="s">
        <v>1177</v>
      </c>
      <c r="E121" s="242" t="s">
        <v>1178</v>
      </c>
      <c r="F121" s="242" t="s">
        <v>1179</v>
      </c>
      <c r="G121" s="242" t="s">
        <v>1180</v>
      </c>
      <c r="H121" s="242" t="s">
        <v>1181</v>
      </c>
      <c r="I121" s="242" t="s">
        <v>1182</v>
      </c>
      <c r="J121" s="15"/>
    </row>
    <row r="122" spans="1:10" x14ac:dyDescent="0.35">
      <c r="A122" s="144"/>
      <c r="C122" s="241" t="s">
        <v>1171</v>
      </c>
      <c r="D122" s="241">
        <v>21</v>
      </c>
      <c r="E122" s="241">
        <v>17</v>
      </c>
      <c r="F122" s="241">
        <v>18</v>
      </c>
      <c r="G122" s="241">
        <v>7</v>
      </c>
      <c r="H122" s="241">
        <v>10</v>
      </c>
      <c r="I122" s="241">
        <v>73</v>
      </c>
    </row>
    <row r="123" spans="1:10" x14ac:dyDescent="0.35">
      <c r="A123" s="144"/>
      <c r="C123" s="241" t="s">
        <v>1172</v>
      </c>
      <c r="D123" s="241">
        <v>0</v>
      </c>
      <c r="E123" s="241">
        <v>1</v>
      </c>
      <c r="F123" s="241">
        <v>5</v>
      </c>
      <c r="G123" s="241">
        <v>7</v>
      </c>
      <c r="H123" s="241">
        <v>11</v>
      </c>
      <c r="I123" s="241">
        <v>24</v>
      </c>
    </row>
    <row r="124" spans="1:10" x14ac:dyDescent="0.35">
      <c r="A124" s="144"/>
      <c r="C124" s="241" t="s">
        <v>1173</v>
      </c>
      <c r="D124" s="241">
        <v>3</v>
      </c>
      <c r="E124" s="241">
        <v>13</v>
      </c>
      <c r="F124" s="241">
        <v>8</v>
      </c>
      <c r="G124" s="241">
        <v>7</v>
      </c>
      <c r="H124" s="241">
        <v>15</v>
      </c>
      <c r="I124" s="241">
        <v>46</v>
      </c>
    </row>
    <row r="125" spans="1:10" x14ac:dyDescent="0.35">
      <c r="A125" s="144"/>
      <c r="C125" s="241" t="s">
        <v>1174</v>
      </c>
      <c r="D125" s="241">
        <v>4</v>
      </c>
      <c r="E125" s="241">
        <v>12</v>
      </c>
      <c r="F125" s="241">
        <v>7</v>
      </c>
      <c r="G125" s="241">
        <v>11</v>
      </c>
      <c r="H125" s="241">
        <v>15</v>
      </c>
      <c r="I125" s="241">
        <v>49</v>
      </c>
    </row>
    <row r="126" spans="1:10" x14ac:dyDescent="0.35">
      <c r="A126" s="144"/>
      <c r="C126" s="241" t="s">
        <v>1175</v>
      </c>
      <c r="D126" s="241">
        <v>1</v>
      </c>
      <c r="E126" s="241">
        <v>5</v>
      </c>
      <c r="F126" s="241">
        <v>9</v>
      </c>
      <c r="G126" s="241">
        <v>6</v>
      </c>
      <c r="H126" s="241">
        <v>16</v>
      </c>
      <c r="I126" s="241">
        <v>37</v>
      </c>
    </row>
    <row r="127" spans="1:10" x14ac:dyDescent="0.35">
      <c r="A127" s="144"/>
    </row>
    <row r="128" spans="1:10" x14ac:dyDescent="0.35">
      <c r="A128" s="144" t="s">
        <v>1176</v>
      </c>
      <c r="C128" s="243" t="s">
        <v>1165</v>
      </c>
    </row>
    <row r="129" spans="1:22" ht="130.5" x14ac:dyDescent="0.35">
      <c r="A129" s="144"/>
      <c r="C129" s="241" t="s">
        <v>1035</v>
      </c>
      <c r="D129" s="242" t="s">
        <v>1183</v>
      </c>
      <c r="E129" s="242" t="s">
        <v>1184</v>
      </c>
      <c r="F129" s="242" t="s">
        <v>1185</v>
      </c>
      <c r="G129" s="15"/>
      <c r="H129" s="15"/>
      <c r="I129" s="15"/>
      <c r="J129" s="15"/>
      <c r="K129" s="15"/>
    </row>
    <row r="130" spans="1:22" x14ac:dyDescent="0.35">
      <c r="A130" s="144"/>
      <c r="C130" s="241" t="s">
        <v>407</v>
      </c>
      <c r="D130" s="241">
        <v>81</v>
      </c>
      <c r="E130" s="241">
        <v>109</v>
      </c>
      <c r="F130" s="241">
        <v>62</v>
      </c>
    </row>
    <row r="131" spans="1:22" x14ac:dyDescent="0.35">
      <c r="A131" s="144"/>
      <c r="C131" s="241" t="s">
        <v>1172</v>
      </c>
      <c r="D131" s="241">
        <v>61</v>
      </c>
      <c r="E131" s="241">
        <v>29</v>
      </c>
      <c r="F131" s="241">
        <v>16</v>
      </c>
      <c r="V131" s="15"/>
    </row>
    <row r="132" spans="1:22" x14ac:dyDescent="0.35">
      <c r="A132" s="144"/>
      <c r="C132" s="241" t="s">
        <v>1173</v>
      </c>
      <c r="D132" s="241">
        <v>112</v>
      </c>
      <c r="E132" s="241">
        <v>69</v>
      </c>
      <c r="F132" s="241">
        <v>42</v>
      </c>
    </row>
    <row r="133" spans="1:22" x14ac:dyDescent="0.35">
      <c r="A133" s="144"/>
      <c r="C133" s="241" t="s">
        <v>1174</v>
      </c>
      <c r="D133" s="241">
        <v>59</v>
      </c>
      <c r="E133" s="241">
        <v>104</v>
      </c>
      <c r="F133" s="241">
        <v>64</v>
      </c>
    </row>
    <row r="134" spans="1:22" x14ac:dyDescent="0.35">
      <c r="A134" s="144"/>
      <c r="C134" s="241" t="s">
        <v>1175</v>
      </c>
      <c r="D134" s="241">
        <v>57</v>
      </c>
      <c r="E134" s="241">
        <v>62</v>
      </c>
      <c r="F134" s="241">
        <v>33</v>
      </c>
    </row>
    <row r="135" spans="1:22" ht="34" customHeight="1" x14ac:dyDescent="0.35">
      <c r="A135" s="144"/>
      <c r="V135" s="364"/>
    </row>
    <row r="136" spans="1:22" x14ac:dyDescent="0.35">
      <c r="C136" s="15" t="s">
        <v>1186</v>
      </c>
    </row>
    <row r="137" spans="1:22" x14ac:dyDescent="0.35">
      <c r="C137" t="s">
        <v>434</v>
      </c>
      <c r="D137">
        <v>15</v>
      </c>
    </row>
    <row r="138" spans="1:22" x14ac:dyDescent="0.35">
      <c r="C138" t="s">
        <v>1187</v>
      </c>
      <c r="D138">
        <v>12</v>
      </c>
    </row>
    <row r="139" spans="1:22" x14ac:dyDescent="0.35">
      <c r="C139" t="s">
        <v>1188</v>
      </c>
      <c r="D139">
        <v>12</v>
      </c>
    </row>
    <row r="140" spans="1:22" ht="29" x14ac:dyDescent="0.35">
      <c r="C140" s="364" t="s">
        <v>1189</v>
      </c>
      <c r="D140">
        <v>35</v>
      </c>
    </row>
    <row r="141" spans="1:22" x14ac:dyDescent="0.35">
      <c r="C141" t="s">
        <v>1190</v>
      </c>
      <c r="D141">
        <v>26</v>
      </c>
    </row>
    <row r="142" spans="1:22" x14ac:dyDescent="0.35">
      <c r="C142" s="15" t="s">
        <v>1186</v>
      </c>
    </row>
    <row r="143" spans="1:22" x14ac:dyDescent="0.35">
      <c r="C143" t="s">
        <v>434</v>
      </c>
      <c r="D143">
        <v>15</v>
      </c>
    </row>
    <row r="144" spans="1:22" x14ac:dyDescent="0.35">
      <c r="C144" t="s">
        <v>1187</v>
      </c>
      <c r="D144">
        <v>12</v>
      </c>
    </row>
    <row r="145" spans="1:22" x14ac:dyDescent="0.35">
      <c r="C145" t="s">
        <v>1188</v>
      </c>
      <c r="D145">
        <v>12</v>
      </c>
    </row>
    <row r="146" spans="1:22" ht="29" x14ac:dyDescent="0.35">
      <c r="C146" s="364" t="s">
        <v>1189</v>
      </c>
      <c r="D146">
        <v>35</v>
      </c>
    </row>
    <row r="147" spans="1:22" x14ac:dyDescent="0.35">
      <c r="C147" t="s">
        <v>1190</v>
      </c>
      <c r="D147">
        <v>26</v>
      </c>
    </row>
    <row r="149" spans="1:22" x14ac:dyDescent="0.35">
      <c r="A149" s="144" t="s">
        <v>1191</v>
      </c>
      <c r="C149" t="s">
        <v>1192</v>
      </c>
      <c r="V149" s="15"/>
    </row>
    <row r="150" spans="1:22" ht="53.5" customHeight="1" x14ac:dyDescent="0.35">
      <c r="A150" s="144"/>
    </row>
    <row r="151" spans="1:22" x14ac:dyDescent="0.35">
      <c r="A151" s="144" t="s">
        <v>1193</v>
      </c>
      <c r="C151" t="s">
        <v>1194</v>
      </c>
    </row>
    <row r="152" spans="1:22" x14ac:dyDescent="0.35">
      <c r="A152" s="144"/>
      <c r="C152" t="s">
        <v>1195</v>
      </c>
    </row>
    <row r="153" spans="1:22" x14ac:dyDescent="0.35">
      <c r="A153" s="144"/>
      <c r="C153" t="s">
        <v>1196</v>
      </c>
      <c r="V153" s="364"/>
    </row>
    <row r="154" spans="1:22" x14ac:dyDescent="0.35">
      <c r="A154" s="144"/>
      <c r="C154" t="s">
        <v>1197</v>
      </c>
    </row>
    <row r="155" spans="1:22" x14ac:dyDescent="0.35">
      <c r="A155" s="144"/>
      <c r="C155" t="s">
        <v>1198</v>
      </c>
    </row>
    <row r="156" spans="1:22" x14ac:dyDescent="0.35">
      <c r="A156" s="144"/>
      <c r="C156" t="s">
        <v>1199</v>
      </c>
    </row>
    <row r="157" spans="1:22" x14ac:dyDescent="0.35">
      <c r="A157" s="144"/>
      <c r="C157" t="s">
        <v>1200</v>
      </c>
    </row>
    <row r="158" spans="1:22" x14ac:dyDescent="0.35">
      <c r="A158" s="144"/>
      <c r="C158" t="s">
        <v>1201</v>
      </c>
    </row>
    <row r="159" spans="1:22" x14ac:dyDescent="0.35">
      <c r="A159" s="144"/>
      <c r="C159" t="s">
        <v>1202</v>
      </c>
    </row>
    <row r="160" spans="1:22" x14ac:dyDescent="0.35">
      <c r="A160" s="144"/>
      <c r="C160" t="s">
        <v>1203</v>
      </c>
    </row>
    <row r="161" spans="1:3" x14ac:dyDescent="0.35">
      <c r="A161" s="144"/>
    </row>
    <row r="162" spans="1:3" x14ac:dyDescent="0.35">
      <c r="A162" s="144" t="s">
        <v>1204</v>
      </c>
      <c r="C162" t="s">
        <v>1205</v>
      </c>
    </row>
    <row r="163" spans="1:3" x14ac:dyDescent="0.35">
      <c r="A163" t="s">
        <v>1206</v>
      </c>
      <c r="C163" t="s">
        <v>1207</v>
      </c>
    </row>
    <row r="164" spans="1:3" x14ac:dyDescent="0.35">
      <c r="C164" t="s">
        <v>1208</v>
      </c>
    </row>
    <row r="165" spans="1:3" x14ac:dyDescent="0.35">
      <c r="C165" t="s">
        <v>1209</v>
      </c>
    </row>
    <row r="166" spans="1:3" x14ac:dyDescent="0.35">
      <c r="C166" t="s">
        <v>1210</v>
      </c>
    </row>
    <row r="168" spans="1:3" x14ac:dyDescent="0.35">
      <c r="C168" t="s">
        <v>1211</v>
      </c>
    </row>
    <row r="169" spans="1:3" x14ac:dyDescent="0.35">
      <c r="C169" t="s">
        <v>1212</v>
      </c>
    </row>
    <row r="170" spans="1:3" x14ac:dyDescent="0.35">
      <c r="C170" t="s">
        <v>1213</v>
      </c>
    </row>
    <row r="171" spans="1:3" x14ac:dyDescent="0.35">
      <c r="C171" t="s">
        <v>1214</v>
      </c>
    </row>
    <row r="172" spans="1:3" x14ac:dyDescent="0.35">
      <c r="C172" t="s">
        <v>1215</v>
      </c>
    </row>
    <row r="173" spans="1:3" x14ac:dyDescent="0.35">
      <c r="C173" t="s">
        <v>1216</v>
      </c>
    </row>
    <row r="174" spans="1:3" x14ac:dyDescent="0.35">
      <c r="C174" t="s">
        <v>1217</v>
      </c>
    </row>
    <row r="176" spans="1:3" x14ac:dyDescent="0.35">
      <c r="A176" s="144" t="s">
        <v>1218</v>
      </c>
      <c r="C176" t="s">
        <v>1219</v>
      </c>
    </row>
    <row r="177" spans="3:3" x14ac:dyDescent="0.35">
      <c r="C177" t="s">
        <v>1220</v>
      </c>
    </row>
    <row r="178" spans="3:3" x14ac:dyDescent="0.35">
      <c r="C178" t="s">
        <v>1221</v>
      </c>
    </row>
    <row r="179" spans="3:3" x14ac:dyDescent="0.35">
      <c r="C179" t="s">
        <v>1222</v>
      </c>
    </row>
    <row r="180" spans="3:3" x14ac:dyDescent="0.35">
      <c r="C180" t="s">
        <v>1223</v>
      </c>
    </row>
    <row r="181" spans="3:3" x14ac:dyDescent="0.35">
      <c r="C181" t="s">
        <v>1224</v>
      </c>
    </row>
  </sheetData>
  <hyperlinks>
    <hyperlink ref="A28" r:id="rId1" display="https://metropolitiques.eu/Quel-avenir-pour-les-aeroports-secondaires-et-regionaux-en-France.html" xr:uid="{1717F2D7-6E27-40CD-9AD7-10D415E9F170}"/>
    <hyperlink ref="A38" r:id="rId2" display="https://www.ccomptes.fr/fr/publications/le-maillage-aeroportuaire-francais" xr:uid="{02CE2885-6404-4433-878F-420DC769B2E3}"/>
    <hyperlink ref="A149" r:id="rId3" display="https://igedd.documentation.developpement-durable.gouv.fr/documents/Affaires-0009046/010207-01_rapport.pdf" xr:uid="{6D61C63D-4E03-453C-BE9A-D885F1C6F22A}"/>
    <hyperlink ref="A162" r:id="rId4" display="https://agence-cohesion-territoires.gouv.fr/sites/default/files/2021-01/rapport-maillage-aeroportuaire-francais-2017.pdf" xr:uid="{F7A50FC8-3B63-4143-AEBC-1BF61B4E4EA0}"/>
    <hyperlink ref="A23" r:id="rId5" xr:uid="{BFE213FC-A958-40B3-B025-C561E395B5F2}"/>
    <hyperlink ref="A176" r:id="rId6" display="https://www.fnaut.fr/uploads/2022/05/Jacques_Pavaux_Se%CC%81nat_Impact_e%CC%81conomique_ae%CC%81roportVF3.pdf" xr:uid="{AE999B95-2277-490F-A549-86BFD5B62E07}"/>
    <hyperlink ref="A151" r:id="rId7" display="https://www.fnaut.fr/uploads/2019/08/db190828apta.pdf" xr:uid="{2605EEF6-456E-4270-879E-8D42E1C47FFC}"/>
  </hyperlinks>
  <pageMargins left="0.7" right="0.7" top="0.75" bottom="0.75" header="0.3" footer="0.3"/>
  <pageSetup paperSize="9" orientation="portrait" r:id="rId8"/>
  <drawing r:id="rId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230DF-8E40-4305-B746-A21F144CC964}">
  <dimension ref="A1:V66"/>
  <sheetViews>
    <sheetView showGridLines="0" zoomScale="40" zoomScaleNormal="40" workbookViewId="0">
      <pane ySplit="1" topLeftCell="A45" activePane="bottomLeft" state="frozen"/>
      <selection pane="bottomLeft" activeCell="A68" sqref="A68"/>
    </sheetView>
  </sheetViews>
  <sheetFormatPr baseColWidth="10" defaultColWidth="11.453125" defaultRowHeight="14.5" x14ac:dyDescent="0.35"/>
  <cols>
    <col min="8" max="9" width="19.7265625" bestFit="1" customWidth="1"/>
    <col min="10" max="10" width="18.81640625" bestFit="1" customWidth="1"/>
    <col min="11" max="12" width="19.7265625" bestFit="1" customWidth="1"/>
    <col min="13" max="13" width="19.453125" bestFit="1" customWidth="1"/>
    <col min="14" max="15" width="19.7265625" bestFit="1" customWidth="1"/>
    <col min="16" max="16" width="19.453125" bestFit="1" customWidth="1"/>
    <col min="17" max="18" width="19.7265625" bestFit="1" customWidth="1"/>
    <col min="19" max="19" width="21" bestFit="1" customWidth="1"/>
    <col min="20" max="20" width="20.54296875" bestFit="1" customWidth="1"/>
  </cols>
  <sheetData>
    <row r="1" spans="1:20" ht="21" x14ac:dyDescent="0.35">
      <c r="A1" s="103" t="s">
        <v>413</v>
      </c>
      <c r="B1" s="103" t="s">
        <v>414</v>
      </c>
      <c r="C1" s="1" t="s">
        <v>1225</v>
      </c>
      <c r="H1" s="175">
        <v>2011</v>
      </c>
      <c r="I1" s="176">
        <v>2012</v>
      </c>
      <c r="J1" s="176">
        <v>2013</v>
      </c>
      <c r="K1" s="176">
        <v>2014</v>
      </c>
      <c r="L1" s="176">
        <v>2015</v>
      </c>
      <c r="M1" s="176">
        <v>2016</v>
      </c>
      <c r="N1" s="176">
        <v>2017</v>
      </c>
      <c r="O1" s="176">
        <v>2018</v>
      </c>
      <c r="P1" s="176">
        <v>2019</v>
      </c>
      <c r="Q1" s="176">
        <v>2020</v>
      </c>
      <c r="R1" s="176">
        <v>2021</v>
      </c>
      <c r="S1" s="176">
        <v>2022</v>
      </c>
      <c r="T1" s="177">
        <v>2023</v>
      </c>
    </row>
    <row r="3" spans="1:20" x14ac:dyDescent="0.35">
      <c r="C3" s="7" t="s">
        <v>416</v>
      </c>
    </row>
    <row r="4" spans="1:20" x14ac:dyDescent="0.35">
      <c r="C4" t="s">
        <v>1226</v>
      </c>
    </row>
    <row r="6" spans="1:20" x14ac:dyDescent="0.35">
      <c r="C6" s="7" t="s">
        <v>418</v>
      </c>
    </row>
    <row r="7" spans="1:20" x14ac:dyDescent="0.35">
      <c r="C7" s="7"/>
    </row>
    <row r="8" spans="1:20" x14ac:dyDescent="0.35">
      <c r="C8" s="7"/>
    </row>
    <row r="9" spans="1:20" ht="15.65" customHeight="1" x14ac:dyDescent="0.35">
      <c r="C9" s="7"/>
    </row>
    <row r="10" spans="1:20" x14ac:dyDescent="0.35">
      <c r="C10" s="7"/>
    </row>
    <row r="11" spans="1:20" x14ac:dyDescent="0.35">
      <c r="C11" s="7"/>
    </row>
    <row r="12" spans="1:20" x14ac:dyDescent="0.35">
      <c r="C12" s="7"/>
    </row>
    <row r="14" spans="1:20" ht="22.5" customHeight="1" x14ac:dyDescent="0.35"/>
    <row r="15" spans="1:20" x14ac:dyDescent="0.35">
      <c r="C15" s="7" t="s">
        <v>1227</v>
      </c>
    </row>
    <row r="16" spans="1:20" x14ac:dyDescent="0.35">
      <c r="C16" t="s">
        <v>1228</v>
      </c>
    </row>
    <row r="17" spans="1:21" x14ac:dyDescent="0.35">
      <c r="C17" t="s">
        <v>1229</v>
      </c>
    </row>
    <row r="18" spans="1:21" x14ac:dyDescent="0.35">
      <c r="C18" t="s">
        <v>1230</v>
      </c>
    </row>
    <row r="19" spans="1:21" x14ac:dyDescent="0.35">
      <c r="C19" t="s">
        <v>1231</v>
      </c>
    </row>
    <row r="21" spans="1:21" x14ac:dyDescent="0.35">
      <c r="A21" s="8"/>
      <c r="B21" s="8"/>
      <c r="C21" s="983" t="s">
        <v>1232</v>
      </c>
      <c r="D21" s="8"/>
      <c r="E21" s="8"/>
      <c r="F21" s="8"/>
      <c r="G21" s="8"/>
      <c r="H21" s="8"/>
      <c r="I21" s="8"/>
      <c r="J21" s="8"/>
      <c r="K21" s="8"/>
      <c r="L21" s="8"/>
      <c r="M21" s="8"/>
      <c r="N21" s="8"/>
      <c r="O21" s="8"/>
      <c r="P21" s="10"/>
      <c r="Q21" s="8"/>
      <c r="R21" s="8"/>
      <c r="S21" s="8"/>
      <c r="T21" s="8"/>
    </row>
    <row r="23" spans="1:21" x14ac:dyDescent="0.35">
      <c r="C23" s="449" t="s">
        <v>1233</v>
      </c>
      <c r="D23" s="73"/>
      <c r="E23" s="73"/>
      <c r="F23" s="29"/>
      <c r="H23" s="179">
        <v>2011</v>
      </c>
      <c r="I23" s="180">
        <v>2012</v>
      </c>
      <c r="J23" s="180">
        <v>2013</v>
      </c>
      <c r="K23" s="180">
        <v>2014</v>
      </c>
      <c r="L23" s="180">
        <v>2015</v>
      </c>
      <c r="M23" s="180">
        <v>2016</v>
      </c>
      <c r="N23" s="12">
        <v>2017</v>
      </c>
      <c r="O23" s="12">
        <v>2018</v>
      </c>
      <c r="P23" s="12">
        <v>2019</v>
      </c>
      <c r="Q23" s="12">
        <v>2020</v>
      </c>
      <c r="R23" s="12">
        <v>2021</v>
      </c>
      <c r="S23" s="12">
        <v>2022</v>
      </c>
      <c r="T23" s="12">
        <v>2023</v>
      </c>
      <c r="U23" s="13">
        <v>2024</v>
      </c>
    </row>
    <row r="24" spans="1:21" x14ac:dyDescent="0.35">
      <c r="C24" s="72" t="s">
        <v>780</v>
      </c>
      <c r="D24" s="73"/>
      <c r="E24" s="73" t="s">
        <v>962</v>
      </c>
      <c r="F24" s="29"/>
      <c r="H24" s="74">
        <v>663150013.38999987</v>
      </c>
      <c r="I24">
        <v>690990482.31999993</v>
      </c>
      <c r="J24">
        <v>704205310.66000021</v>
      </c>
      <c r="K24">
        <v>717347700.15999997</v>
      </c>
      <c r="L24">
        <v>711612012.61000013</v>
      </c>
      <c r="M24">
        <v>695233753.53000009</v>
      </c>
      <c r="N24">
        <v>700545328.26000082</v>
      </c>
      <c r="O24">
        <v>691896461.18999982</v>
      </c>
      <c r="P24">
        <v>699027278.62000024</v>
      </c>
      <c r="Q24">
        <v>537468280.75999999</v>
      </c>
      <c r="R24">
        <v>668475963.98999965</v>
      </c>
      <c r="S24">
        <v>742453790.21999943</v>
      </c>
      <c r="T24">
        <v>831751299.13999987</v>
      </c>
      <c r="U24" s="31">
        <v>870889515.32000053</v>
      </c>
    </row>
    <row r="25" spans="1:21" x14ac:dyDescent="0.35">
      <c r="C25" s="74" t="s">
        <v>781</v>
      </c>
      <c r="E25" t="s">
        <v>268</v>
      </c>
      <c r="F25" s="31"/>
      <c r="H25" s="74">
        <v>0</v>
      </c>
      <c r="I25">
        <v>0</v>
      </c>
      <c r="J25">
        <v>0</v>
      </c>
      <c r="K25">
        <v>0</v>
      </c>
      <c r="L25">
        <v>0</v>
      </c>
      <c r="M25">
        <v>0</v>
      </c>
      <c r="N25">
        <v>0</v>
      </c>
      <c r="O25">
        <v>0</v>
      </c>
      <c r="P25">
        <v>9094933.0099999998</v>
      </c>
      <c r="Q25">
        <v>6878808.6600000001</v>
      </c>
      <c r="R25">
        <v>7843981.2300000004</v>
      </c>
      <c r="S25">
        <v>8135629.6700000009</v>
      </c>
      <c r="T25">
        <v>8688462.540000001</v>
      </c>
      <c r="U25" s="31">
        <v>9030792.7899999991</v>
      </c>
    </row>
    <row r="26" spans="1:21" x14ac:dyDescent="0.35">
      <c r="C26" s="74" t="s">
        <v>484</v>
      </c>
      <c r="E26" t="s">
        <v>268</v>
      </c>
      <c r="F26" s="31"/>
      <c r="H26" s="74">
        <v>57943445.569999993</v>
      </c>
      <c r="I26">
        <v>66224642.20000001</v>
      </c>
      <c r="J26">
        <v>71918731.010000005</v>
      </c>
      <c r="K26">
        <v>77066898.140000001</v>
      </c>
      <c r="L26">
        <v>80406188.979999989</v>
      </c>
      <c r="M26">
        <v>76917498.459999993</v>
      </c>
      <c r="N26">
        <v>79869194.000000015</v>
      </c>
      <c r="O26">
        <v>81805158.070000008</v>
      </c>
      <c r="P26">
        <v>81759991.080000028</v>
      </c>
      <c r="Q26">
        <v>64703238.969999984</v>
      </c>
      <c r="R26">
        <v>78347345.379999995</v>
      </c>
      <c r="S26">
        <v>91332029.87999998</v>
      </c>
      <c r="T26">
        <v>103148759.33999999</v>
      </c>
      <c r="U26" s="31">
        <v>104610600.75999999</v>
      </c>
    </row>
    <row r="27" spans="1:21" x14ac:dyDescent="0.35">
      <c r="C27" s="74" t="s">
        <v>782</v>
      </c>
      <c r="E27" t="s">
        <v>268</v>
      </c>
      <c r="F27" s="31"/>
      <c r="H27" s="74">
        <v>0</v>
      </c>
      <c r="I27">
        <v>0</v>
      </c>
      <c r="J27">
        <v>0</v>
      </c>
      <c r="K27">
        <v>0</v>
      </c>
      <c r="L27">
        <v>0</v>
      </c>
      <c r="M27">
        <v>4881933.0699999994</v>
      </c>
      <c r="N27">
        <v>4951129.3199999994</v>
      </c>
      <c r="O27">
        <v>6229375.9900000002</v>
      </c>
      <c r="P27">
        <v>5235283.580000001</v>
      </c>
      <c r="Q27">
        <v>4597601.4800000004</v>
      </c>
      <c r="R27">
        <v>5551290.7800000003</v>
      </c>
      <c r="S27">
        <v>6445002.7999999998</v>
      </c>
      <c r="T27">
        <v>7617155.3499999996</v>
      </c>
      <c r="U27" s="31">
        <v>8823441.1500000004</v>
      </c>
    </row>
    <row r="28" spans="1:21" x14ac:dyDescent="0.35">
      <c r="C28" s="74" t="s">
        <v>485</v>
      </c>
      <c r="E28" t="s">
        <v>268</v>
      </c>
      <c r="F28" s="31"/>
      <c r="H28" s="74">
        <v>89614223.339999989</v>
      </c>
      <c r="I28">
        <v>100864186.36000001</v>
      </c>
      <c r="J28">
        <v>111967011</v>
      </c>
      <c r="K28">
        <v>113456302.03</v>
      </c>
      <c r="L28">
        <v>116423358.49000001</v>
      </c>
      <c r="M28">
        <v>114042401.39</v>
      </c>
      <c r="N28">
        <v>112954981.3899999</v>
      </c>
      <c r="O28">
        <v>112733101.67999999</v>
      </c>
      <c r="P28">
        <v>112242778.43000001</v>
      </c>
      <c r="Q28">
        <v>85823566.559999987</v>
      </c>
      <c r="R28">
        <v>108821412.7099999</v>
      </c>
      <c r="S28">
        <v>120634929.26000001</v>
      </c>
      <c r="T28">
        <v>133110003.57000001</v>
      </c>
      <c r="U28" s="31">
        <v>134901294.11000001</v>
      </c>
    </row>
    <row r="29" spans="1:21" x14ac:dyDescent="0.35">
      <c r="C29" s="74" t="s">
        <v>783</v>
      </c>
      <c r="E29" t="s">
        <v>268</v>
      </c>
      <c r="F29" s="31"/>
      <c r="H29" s="74">
        <v>22274191.670000002</v>
      </c>
      <c r="I29">
        <v>23707893.210000001</v>
      </c>
      <c r="J29">
        <v>26552829.640000001</v>
      </c>
      <c r="K29">
        <v>28427582.139999989</v>
      </c>
      <c r="L29">
        <v>28163896.52</v>
      </c>
      <c r="M29">
        <v>28370398.609999999</v>
      </c>
      <c r="N29">
        <v>28722804.699999999</v>
      </c>
      <c r="O29">
        <v>29808765.520000011</v>
      </c>
      <c r="P29">
        <v>30907888.189999998</v>
      </c>
      <c r="Q29">
        <v>27284319.879999999</v>
      </c>
      <c r="R29">
        <v>32238558.27</v>
      </c>
      <c r="S29">
        <v>40414194.240000002</v>
      </c>
      <c r="T29">
        <v>53731107.850000001</v>
      </c>
      <c r="U29" s="31">
        <v>65982008.690000005</v>
      </c>
    </row>
    <row r="30" spans="1:21" x14ac:dyDescent="0.35">
      <c r="C30" s="74" t="s">
        <v>785</v>
      </c>
      <c r="E30" t="s">
        <v>268</v>
      </c>
      <c r="F30" s="31"/>
      <c r="H30" s="74">
        <v>0</v>
      </c>
      <c r="I30">
        <v>0</v>
      </c>
      <c r="J30">
        <v>0</v>
      </c>
      <c r="K30">
        <v>0</v>
      </c>
      <c r="L30">
        <v>0</v>
      </c>
      <c r="M30">
        <v>191131.86</v>
      </c>
      <c r="N30">
        <v>120719.93</v>
      </c>
      <c r="O30">
        <v>226385.91</v>
      </c>
      <c r="P30">
        <v>262294.21999999997</v>
      </c>
      <c r="Q30">
        <v>248353.65</v>
      </c>
      <c r="R30">
        <v>282612.90000000002</v>
      </c>
      <c r="S30">
        <v>385722.6</v>
      </c>
      <c r="T30">
        <v>302752.99</v>
      </c>
      <c r="U30" s="31">
        <v>413044.73</v>
      </c>
    </row>
    <row r="31" spans="1:21" x14ac:dyDescent="0.35">
      <c r="C31" s="99" t="s">
        <v>784</v>
      </c>
      <c r="D31" s="100"/>
      <c r="E31" s="100" t="s">
        <v>268</v>
      </c>
      <c r="F31" s="33"/>
      <c r="H31" s="74">
        <v>2387765.56</v>
      </c>
      <c r="I31">
        <v>1981497.9</v>
      </c>
      <c r="J31">
        <v>1783036.17</v>
      </c>
      <c r="K31">
        <v>1755109.5</v>
      </c>
      <c r="L31">
        <v>1279713.29</v>
      </c>
      <c r="M31">
        <v>1438122.42</v>
      </c>
      <c r="N31">
        <v>1343798.59</v>
      </c>
      <c r="O31">
        <v>1404731.45</v>
      </c>
      <c r="P31">
        <v>1476884.64</v>
      </c>
      <c r="Q31">
        <v>2415508.6900000004</v>
      </c>
      <c r="R31">
        <v>2414098.06</v>
      </c>
      <c r="S31">
        <v>1148205.21</v>
      </c>
      <c r="T31">
        <v>1348511.15</v>
      </c>
      <c r="U31" s="31">
        <v>1628127.97</v>
      </c>
    </row>
    <row r="32" spans="1:21" x14ac:dyDescent="0.35">
      <c r="C32" s="365" t="s">
        <v>951</v>
      </c>
      <c r="D32" s="100"/>
      <c r="E32" s="100"/>
      <c r="F32" s="33"/>
      <c r="H32" s="65">
        <v>835369639.52999973</v>
      </c>
      <c r="I32" s="63">
        <v>883768701.99000001</v>
      </c>
      <c r="J32" s="63">
        <v>916426918.48000014</v>
      </c>
      <c r="K32" s="63">
        <v>938053591.96999991</v>
      </c>
      <c r="L32" s="63">
        <v>937885169.8900001</v>
      </c>
      <c r="M32" s="63">
        <v>921075239.34000015</v>
      </c>
      <c r="N32" s="63">
        <v>928507956.19000077</v>
      </c>
      <c r="O32" s="63">
        <v>924103979.80999982</v>
      </c>
      <c r="P32" s="63">
        <v>940007331.77000034</v>
      </c>
      <c r="Q32" s="63">
        <v>729419678.64999998</v>
      </c>
      <c r="R32" s="63">
        <v>903975263.31999946</v>
      </c>
      <c r="S32" s="63">
        <v>1010949503.8799994</v>
      </c>
      <c r="T32" s="63">
        <v>1139698051.9299998</v>
      </c>
      <c r="U32" s="64">
        <v>1196278825.5200007</v>
      </c>
    </row>
    <row r="34" spans="1:20" s="808" customFormat="1" ht="14" x14ac:dyDescent="0.3">
      <c r="C34" s="913" t="s">
        <v>797</v>
      </c>
      <c r="P34" s="809"/>
    </row>
    <row r="36" spans="1:20" x14ac:dyDescent="0.35">
      <c r="C36" s="982" t="s">
        <v>495</v>
      </c>
    </row>
    <row r="38" spans="1:20" x14ac:dyDescent="0.35">
      <c r="A38" s="144" t="s">
        <v>1234</v>
      </c>
      <c r="C38" t="s">
        <v>1235</v>
      </c>
    </row>
    <row r="40" spans="1:20" x14ac:dyDescent="0.35">
      <c r="C40" t="s">
        <v>1236</v>
      </c>
    </row>
    <row r="41" spans="1:20" x14ac:dyDescent="0.35">
      <c r="C41" s="72" t="s">
        <v>1237</v>
      </c>
      <c r="D41" s="72">
        <v>581</v>
      </c>
      <c r="E41" s="29">
        <f>D41/$D$45</f>
        <v>0.11367638426922325</v>
      </c>
    </row>
    <row r="42" spans="1:20" x14ac:dyDescent="0.35">
      <c r="C42" s="74" t="s">
        <v>1238</v>
      </c>
      <c r="D42" s="74">
        <v>178</v>
      </c>
      <c r="E42" s="31">
        <f t="shared" ref="E42:E45" si="0">D42/$D$45</f>
        <v>3.4826844061827428E-2</v>
      </c>
    </row>
    <row r="43" spans="1:20" x14ac:dyDescent="0.35">
      <c r="C43" s="74" t="s">
        <v>1239</v>
      </c>
      <c r="D43" s="74">
        <v>1760</v>
      </c>
      <c r="E43" s="31">
        <f t="shared" si="0"/>
        <v>0.34435531207200154</v>
      </c>
    </row>
    <row r="44" spans="1:20" x14ac:dyDescent="0.35">
      <c r="C44" s="74" t="s">
        <v>1240</v>
      </c>
      <c r="D44" s="74">
        <v>2592</v>
      </c>
      <c r="E44" s="31">
        <f t="shared" si="0"/>
        <v>0.50714145959694779</v>
      </c>
    </row>
    <row r="45" spans="1:20" x14ac:dyDescent="0.35">
      <c r="C45" s="99" t="s">
        <v>277</v>
      </c>
      <c r="D45" s="99">
        <f>SUM(D41:D44)</f>
        <v>5111</v>
      </c>
      <c r="E45" s="33">
        <f t="shared" si="0"/>
        <v>1</v>
      </c>
    </row>
    <row r="47" spans="1:20" x14ac:dyDescent="0.35">
      <c r="C47" s="254" t="s">
        <v>1241</v>
      </c>
      <c r="D47" s="73"/>
      <c r="E47" s="73"/>
      <c r="F47" s="29"/>
      <c r="H47" s="179">
        <v>2011</v>
      </c>
      <c r="I47" s="180">
        <v>2012</v>
      </c>
      <c r="J47" s="180">
        <v>2013</v>
      </c>
      <c r="K47" s="180">
        <v>2014</v>
      </c>
      <c r="L47" s="180">
        <v>2015</v>
      </c>
      <c r="M47" s="180">
        <v>2016</v>
      </c>
      <c r="N47" s="12">
        <v>2017</v>
      </c>
      <c r="O47" s="12">
        <v>2018</v>
      </c>
      <c r="P47" s="12">
        <v>2019</v>
      </c>
      <c r="Q47" s="12">
        <v>2020</v>
      </c>
      <c r="R47" s="12">
        <v>2021</v>
      </c>
      <c r="S47" s="12">
        <v>2022</v>
      </c>
      <c r="T47" s="13">
        <v>2023</v>
      </c>
    </row>
    <row r="48" spans="1:20" x14ac:dyDescent="0.35">
      <c r="C48" s="74" t="s">
        <v>1242</v>
      </c>
      <c r="F48" s="31"/>
      <c r="H48" s="72"/>
      <c r="I48" s="73"/>
      <c r="J48" s="73"/>
      <c r="K48" s="73"/>
      <c r="L48" s="404">
        <v>3.2000000000000001E-2</v>
      </c>
      <c r="M48" s="73"/>
      <c r="N48" s="73"/>
      <c r="O48" s="404">
        <v>2.9000000000000001E-2</v>
      </c>
      <c r="Q48" s="404">
        <v>6.6000000000000003E-2</v>
      </c>
      <c r="R48" s="404">
        <v>0.106</v>
      </c>
      <c r="S48" s="404">
        <v>0.13100000000000001</v>
      </c>
      <c r="T48" s="403">
        <v>0.121</v>
      </c>
    </row>
    <row r="49" spans="1:20" x14ac:dyDescent="0.35">
      <c r="C49" s="99" t="s">
        <v>1243</v>
      </c>
      <c r="D49" s="100"/>
      <c r="E49" s="100"/>
      <c r="F49" s="33"/>
      <c r="H49" s="99"/>
      <c r="I49" s="100"/>
      <c r="J49" s="100"/>
      <c r="K49" s="100"/>
      <c r="L49" s="100"/>
      <c r="M49" s="100"/>
      <c r="N49" s="100"/>
      <c r="O49" s="100"/>
      <c r="P49" s="100"/>
      <c r="Q49" s="100"/>
      <c r="R49" s="393">
        <v>0.62</v>
      </c>
      <c r="S49" s="142">
        <v>0.5</v>
      </c>
      <c r="T49" s="394">
        <v>0.38</v>
      </c>
    </row>
    <row r="51" spans="1:20" x14ac:dyDescent="0.35">
      <c r="A51" s="144" t="s">
        <v>1244</v>
      </c>
      <c r="C51" s="405" t="s">
        <v>1245</v>
      </c>
      <c r="D51" s="104"/>
      <c r="E51" s="104"/>
    </row>
    <row r="52" spans="1:20" x14ac:dyDescent="0.35">
      <c r="A52" s="144" t="s">
        <v>1246</v>
      </c>
      <c r="C52" s="405" t="s">
        <v>1247</v>
      </c>
      <c r="D52" s="104"/>
      <c r="E52" s="104"/>
    </row>
    <row r="53" spans="1:20" x14ac:dyDescent="0.35">
      <c r="A53" s="144" t="s">
        <v>1248</v>
      </c>
      <c r="C53" s="405" t="s">
        <v>1249</v>
      </c>
      <c r="D53" s="104"/>
      <c r="E53" s="104"/>
    </row>
    <row r="54" spans="1:20" x14ac:dyDescent="0.35">
      <c r="A54" s="144" t="s">
        <v>1250</v>
      </c>
      <c r="C54" s="405" t="s">
        <v>1251</v>
      </c>
      <c r="D54" s="104"/>
      <c r="E54" s="104"/>
    </row>
    <row r="55" spans="1:20" x14ac:dyDescent="0.35">
      <c r="A55" s="144" t="s">
        <v>1252</v>
      </c>
      <c r="C55" s="405" t="s">
        <v>1253</v>
      </c>
      <c r="D55" s="104"/>
      <c r="E55" s="104"/>
      <c r="N55" t="s">
        <v>373</v>
      </c>
    </row>
    <row r="56" spans="1:20" x14ac:dyDescent="0.35">
      <c r="A56" s="144" t="s">
        <v>1254</v>
      </c>
      <c r="C56" s="405" t="s">
        <v>1255</v>
      </c>
      <c r="D56" s="104"/>
      <c r="E56" s="104"/>
    </row>
    <row r="57" spans="1:20" x14ac:dyDescent="0.35">
      <c r="A57" s="144" t="s">
        <v>1256</v>
      </c>
      <c r="C57" s="405" t="s">
        <v>1257</v>
      </c>
      <c r="D57" s="104"/>
      <c r="E57" s="104"/>
    </row>
    <row r="58" spans="1:20" x14ac:dyDescent="0.35">
      <c r="A58" t="s">
        <v>1258</v>
      </c>
      <c r="C58" s="240" t="s">
        <v>1259</v>
      </c>
      <c r="D58" s="104"/>
    </row>
    <row r="59" spans="1:20" x14ac:dyDescent="0.35">
      <c r="A59" s="144"/>
      <c r="C59" s="144"/>
    </row>
    <row r="60" spans="1:20" x14ac:dyDescent="0.35">
      <c r="C60" s="15" t="s">
        <v>1260</v>
      </c>
    </row>
    <row r="62" spans="1:20" x14ac:dyDescent="0.35">
      <c r="A62" t="s">
        <v>1258</v>
      </c>
      <c r="C62" t="s">
        <v>1261</v>
      </c>
    </row>
    <row r="64" spans="1:20" x14ac:dyDescent="0.35">
      <c r="C64" s="254" t="s">
        <v>1241</v>
      </c>
      <c r="D64" s="73"/>
      <c r="E64" s="73"/>
      <c r="F64" s="29"/>
      <c r="H64" s="181">
        <v>2011</v>
      </c>
      <c r="I64" s="182">
        <v>2012</v>
      </c>
      <c r="J64" s="182">
        <v>2013</v>
      </c>
      <c r="K64" s="182">
        <v>2014</v>
      </c>
      <c r="L64" s="182">
        <v>2015</v>
      </c>
      <c r="M64" s="182">
        <v>2016</v>
      </c>
      <c r="N64" s="45">
        <v>2017</v>
      </c>
      <c r="O64" s="45">
        <v>2018</v>
      </c>
      <c r="P64" s="45">
        <v>2019</v>
      </c>
      <c r="Q64" s="45">
        <v>2020</v>
      </c>
      <c r="R64" s="45">
        <v>2021</v>
      </c>
      <c r="S64" s="45">
        <v>2022</v>
      </c>
      <c r="T64" s="46">
        <v>2023</v>
      </c>
    </row>
    <row r="65" spans="3:22" x14ac:dyDescent="0.35">
      <c r="C65" s="72" t="s">
        <v>1262</v>
      </c>
      <c r="D65" s="73"/>
      <c r="E65" s="73" t="s">
        <v>379</v>
      </c>
      <c r="F65" s="29"/>
      <c r="H65" s="72"/>
      <c r="I65" s="73"/>
      <c r="J65" s="73"/>
      <c r="K65" s="73"/>
      <c r="L65" s="73"/>
      <c r="M65" s="73"/>
      <c r="N65" s="73"/>
      <c r="O65" s="73"/>
      <c r="P65" s="73"/>
      <c r="Q65" s="73"/>
      <c r="R65" s="981">
        <f>R32*R49*20%</f>
        <v>112092932.65167993</v>
      </c>
      <c r="S65" s="406">
        <f>S32*S49*20%</f>
        <v>101094950.38799995</v>
      </c>
      <c r="T65" s="408">
        <f>T32*T49*20%</f>
        <v>86617051.946679994</v>
      </c>
      <c r="U65" s="378"/>
      <c r="V65" s="378"/>
    </row>
    <row r="66" spans="3:22" x14ac:dyDescent="0.35">
      <c r="C66" s="99" t="s">
        <v>1263</v>
      </c>
      <c r="D66" s="100"/>
      <c r="E66" s="100" t="s">
        <v>268</v>
      </c>
      <c r="F66" s="33"/>
      <c r="H66" s="99"/>
      <c r="I66" s="100"/>
      <c r="J66" s="100"/>
      <c r="K66" s="100"/>
      <c r="L66" s="100"/>
      <c r="M66" s="100"/>
      <c r="N66" s="100"/>
      <c r="O66" s="100"/>
      <c r="P66" s="100"/>
      <c r="Q66" s="100"/>
      <c r="R66" s="388">
        <f>R32*R49</f>
        <v>560464663.25839961</v>
      </c>
      <c r="S66" s="388">
        <f>S32*S49</f>
        <v>505474751.9399997</v>
      </c>
      <c r="T66" s="389">
        <f>T32*T49</f>
        <v>433085259.73339993</v>
      </c>
      <c r="U66" s="378"/>
    </row>
  </sheetData>
  <hyperlinks>
    <hyperlink ref="A38" r:id="rId1" display="https://ma-cantine-metabase.cleverapps.io/public/dashboard/3dab8a21-c4b9-46e1-84fa-7ba485ddfbbb" xr:uid="{06A99A7C-C166-4B76-A785-069FC000F38A}"/>
    <hyperlink ref="A51" r:id="rId2" display="https://www.abiodoc.com/actualite-de-la-bio/plateforme-ma-cantine-chiffres-2023" xr:uid="{0DAF1167-31E2-44A6-BB9D-FF164ED7C93C}"/>
    <hyperlink ref="A52" r:id="rId3" display="https://www.banquedesterritoires.fr/restauration-collective-275-de-produits-durables-et-de-qualite-en-2022" xr:uid="{EF50FC71-24AC-486E-A723-78A5E2260208}"/>
    <hyperlink ref="A53" r:id="rId4" display="https://www.agro-media.fr/dossier/restauration-collective-seduite-bio-25011.html" xr:uid="{5EA10359-DF13-45C7-AD5E-CE334C74E863}"/>
    <hyperlink ref="A55" r:id="rId5" location="_Toc505075113" display="https://www.assemblee-nationale.fr/dyn/15/textes/l15b0627_etude-impact - _Toc505075113" xr:uid="{FE1B15B5-4AF1-452E-913A-B043EFA4DF0C}"/>
    <hyperlink ref="A54" r:id="rId6" display="https://www.cnfpt.fr/sites/default/files/etude_sectorielle_restauration_2019_09_05.pdf" xr:uid="{38F91BBD-20B4-427A-AD4D-75AF4029AECD}"/>
    <hyperlink ref="A56" r:id="rId7" display="https://www.vegecantines.fr/media/files/AVF_Enquete-EGalim-menu-vege_Synthese_fev2024.pdf" xr:uid="{0E362718-389F-4E96-906E-1DAE5A967324}"/>
    <hyperlink ref="A57" r:id="rId8" display="https://ma-cantine.agriculture.gouv.fr/statistiques-regionales?year=2023" xr:uid="{B87ABFD2-55F3-474C-9EAC-7E65A0315B2A}"/>
  </hyperlinks>
  <pageMargins left="0.7" right="0.7" top="0.75" bottom="0.75" header="0.3" footer="0.3"/>
  <drawing r:id="rId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360AC-78AD-44D5-8668-65E6437A6331}">
  <dimension ref="A1:V49"/>
  <sheetViews>
    <sheetView showGridLines="0" tabSelected="1" zoomScale="55" zoomScaleNormal="55" workbookViewId="0">
      <pane ySplit="1" topLeftCell="A29" activePane="bottomLeft" state="frozen"/>
      <selection pane="bottomLeft" activeCell="N63" sqref="N63"/>
    </sheetView>
  </sheetViews>
  <sheetFormatPr baseColWidth="10" defaultColWidth="11.453125" defaultRowHeight="14.5" x14ac:dyDescent="0.35"/>
  <cols>
    <col min="8" max="15" width="14.453125" bestFit="1" customWidth="1"/>
    <col min="16" max="20" width="15.7265625" bestFit="1" customWidth="1"/>
  </cols>
  <sheetData>
    <row r="1" spans="1:20" ht="21" x14ac:dyDescent="0.35">
      <c r="A1" s="103" t="s">
        <v>413</v>
      </c>
      <c r="B1" s="103" t="s">
        <v>414</v>
      </c>
      <c r="C1" s="1" t="s">
        <v>324</v>
      </c>
      <c r="H1" s="175">
        <v>2011</v>
      </c>
      <c r="I1" s="176">
        <v>2012</v>
      </c>
      <c r="J1" s="176">
        <v>2013</v>
      </c>
      <c r="K1" s="176">
        <v>2014</v>
      </c>
      <c r="L1" s="176">
        <v>2015</v>
      </c>
      <c r="M1" s="176">
        <v>2016</v>
      </c>
      <c r="N1" s="176">
        <v>2017</v>
      </c>
      <c r="O1" s="176">
        <v>2018</v>
      </c>
      <c r="P1" s="176">
        <v>2019</v>
      </c>
      <c r="Q1" s="176">
        <v>2020</v>
      </c>
      <c r="R1" s="176">
        <v>2021</v>
      </c>
      <c r="S1" s="176">
        <v>2022</v>
      </c>
      <c r="T1" s="177">
        <v>2023</v>
      </c>
    </row>
    <row r="3" spans="1:20" x14ac:dyDescent="0.35">
      <c r="C3" s="7" t="s">
        <v>416</v>
      </c>
    </row>
    <row r="5" spans="1:20" x14ac:dyDescent="0.35">
      <c r="C5" s="7" t="s">
        <v>418</v>
      </c>
    </row>
    <row r="16" spans="1:20" x14ac:dyDescent="0.35">
      <c r="C16" t="s">
        <v>1264</v>
      </c>
    </row>
    <row r="18" spans="1:22" x14ac:dyDescent="0.35">
      <c r="A18" s="8"/>
      <c r="B18" s="8"/>
      <c r="C18" s="983" t="s">
        <v>1232</v>
      </c>
      <c r="D18" s="8"/>
      <c r="E18" s="8"/>
      <c r="F18" s="8"/>
      <c r="G18" s="8"/>
      <c r="H18" s="8"/>
      <c r="I18" s="8"/>
      <c r="J18" s="8"/>
      <c r="K18" s="8"/>
      <c r="L18" s="8"/>
      <c r="M18" s="8"/>
      <c r="N18" s="8"/>
      <c r="O18" s="8"/>
      <c r="P18" s="10"/>
      <c r="Q18" s="8"/>
      <c r="R18" s="8"/>
      <c r="S18" s="8"/>
      <c r="T18" s="8"/>
    </row>
    <row r="20" spans="1:22" x14ac:dyDescent="0.35">
      <c r="H20" s="762"/>
      <c r="I20" s="397"/>
      <c r="J20" s="397"/>
      <c r="K20" s="397"/>
      <c r="L20" s="397"/>
      <c r="M20" s="397"/>
      <c r="N20" s="763"/>
      <c r="O20" s="397"/>
      <c r="P20" s="397"/>
      <c r="Q20" s="397"/>
      <c r="R20" s="397"/>
      <c r="S20" s="397"/>
      <c r="T20" s="397"/>
      <c r="U20" s="397"/>
      <c r="V20" s="397"/>
    </row>
    <row r="21" spans="1:22" x14ac:dyDescent="0.35">
      <c r="G21" s="15"/>
      <c r="H21" s="763"/>
      <c r="I21" s="763"/>
      <c r="J21" s="763"/>
      <c r="K21" s="763"/>
      <c r="L21" s="763"/>
      <c r="M21" s="763"/>
      <c r="N21" s="541"/>
      <c r="O21" s="541"/>
      <c r="P21" s="541"/>
      <c r="Q21" s="541"/>
      <c r="R21" s="541"/>
      <c r="S21" s="541"/>
      <c r="T21" s="541"/>
      <c r="U21" s="397"/>
      <c r="V21" s="397"/>
    </row>
    <row r="22" spans="1:22" x14ac:dyDescent="0.35">
      <c r="A22" t="s">
        <v>1265</v>
      </c>
      <c r="B22" s="119">
        <v>45811</v>
      </c>
      <c r="C22" s="767" t="s">
        <v>1266</v>
      </c>
      <c r="D22" s="63"/>
      <c r="E22" s="63"/>
      <c r="F22" s="64"/>
      <c r="H22" s="179">
        <v>2011</v>
      </c>
      <c r="I22" s="180">
        <v>2012</v>
      </c>
      <c r="J22" s="180">
        <v>2013</v>
      </c>
      <c r="K22" s="180">
        <v>2014</v>
      </c>
      <c r="L22" s="180">
        <v>2015</v>
      </c>
      <c r="M22" s="180">
        <v>2016</v>
      </c>
      <c r="N22" s="12">
        <v>2017</v>
      </c>
      <c r="O22" s="12">
        <v>2018</v>
      </c>
      <c r="P22" s="12">
        <v>2019</v>
      </c>
      <c r="Q22" s="12">
        <v>2020</v>
      </c>
      <c r="R22" s="12">
        <v>2021</v>
      </c>
      <c r="S22" s="12">
        <v>2022</v>
      </c>
      <c r="T22" s="12">
        <v>2023</v>
      </c>
      <c r="U22" s="13">
        <v>2024</v>
      </c>
      <c r="V22" s="397"/>
    </row>
    <row r="23" spans="1:22" x14ac:dyDescent="0.35">
      <c r="C23" s="367" t="s">
        <v>780</v>
      </c>
      <c r="F23" s="31"/>
      <c r="H23" s="768">
        <v>252062283.06999993</v>
      </c>
      <c r="I23" s="769">
        <v>264203289.55999988</v>
      </c>
      <c r="J23" s="769">
        <v>274482949.21000004</v>
      </c>
      <c r="K23" s="769">
        <v>279382821.23000014</v>
      </c>
      <c r="L23" s="769">
        <v>270173455.18000013</v>
      </c>
      <c r="M23" s="769">
        <v>280486982.06999999</v>
      </c>
      <c r="N23" s="769">
        <v>308806098.14000005</v>
      </c>
      <c r="O23" s="769">
        <v>306177957.92999995</v>
      </c>
      <c r="P23" s="769">
        <v>331270257.0399999</v>
      </c>
      <c r="Q23" s="769">
        <v>356416488.34000021</v>
      </c>
      <c r="R23" s="769">
        <v>415081636.53999966</v>
      </c>
      <c r="S23" s="769">
        <v>436079204.74999976</v>
      </c>
      <c r="T23" s="769">
        <v>380581810.61000001</v>
      </c>
      <c r="U23" s="770">
        <v>345904509.89000022</v>
      </c>
      <c r="V23" s="397"/>
    </row>
    <row r="24" spans="1:22" x14ac:dyDescent="0.35">
      <c r="C24" s="74" t="s">
        <v>1267</v>
      </c>
      <c r="F24" s="31"/>
      <c r="H24" s="771">
        <v>252062283.06999993</v>
      </c>
      <c r="I24" s="772">
        <v>264203289.55999988</v>
      </c>
      <c r="J24" s="772">
        <v>274482949.21000004</v>
      </c>
      <c r="K24" s="772">
        <v>279382821.23000014</v>
      </c>
      <c r="L24" s="772">
        <v>270173455.18000013</v>
      </c>
      <c r="M24" s="772">
        <v>280486982.06999999</v>
      </c>
      <c r="N24" s="772">
        <v>308806098.14000005</v>
      </c>
      <c r="O24" s="772">
        <v>305739281.30999994</v>
      </c>
      <c r="P24" s="772">
        <v>331159508.44999993</v>
      </c>
      <c r="Q24" s="772">
        <v>355995697.14000022</v>
      </c>
      <c r="R24" s="772">
        <v>413945756.17999965</v>
      </c>
      <c r="S24" s="772">
        <v>434248500.62999976</v>
      </c>
      <c r="T24" s="772">
        <v>373455276.06</v>
      </c>
      <c r="U24" s="773">
        <v>330277596.22000021</v>
      </c>
      <c r="V24" s="397"/>
    </row>
    <row r="25" spans="1:22" x14ac:dyDescent="0.35">
      <c r="C25" s="74" t="s">
        <v>1268</v>
      </c>
      <c r="F25" s="31"/>
      <c r="H25" s="771">
        <v>0</v>
      </c>
      <c r="I25" s="772">
        <v>0</v>
      </c>
      <c r="J25" s="772">
        <v>0</v>
      </c>
      <c r="K25" s="772">
        <v>0</v>
      </c>
      <c r="L25" s="772">
        <v>0</v>
      </c>
      <c r="M25" s="772">
        <v>0</v>
      </c>
      <c r="N25" s="772">
        <v>0</v>
      </c>
      <c r="O25" s="772">
        <v>438676.62000000011</v>
      </c>
      <c r="P25" s="772">
        <v>110748.59000000003</v>
      </c>
      <c r="Q25" s="772">
        <v>420791.20000000007</v>
      </c>
      <c r="R25" s="772">
        <v>1135880.3600000001</v>
      </c>
      <c r="S25" s="772">
        <v>1830704.12</v>
      </c>
      <c r="T25" s="772">
        <v>7126534.5500000017</v>
      </c>
      <c r="U25" s="773">
        <v>15626913.67</v>
      </c>
      <c r="V25" s="397"/>
    </row>
    <row r="26" spans="1:22" x14ac:dyDescent="0.35">
      <c r="C26" s="367" t="s">
        <v>781</v>
      </c>
      <c r="F26" s="31"/>
      <c r="H26" s="774">
        <v>0</v>
      </c>
      <c r="I26" s="775">
        <v>0</v>
      </c>
      <c r="J26" s="775">
        <v>0</v>
      </c>
      <c r="K26" s="775">
        <v>0</v>
      </c>
      <c r="L26" s="775">
        <v>0</v>
      </c>
      <c r="M26" s="775">
        <v>0</v>
      </c>
      <c r="N26" s="775">
        <v>0</v>
      </c>
      <c r="O26" s="775">
        <v>0</v>
      </c>
      <c r="P26" s="775">
        <v>24673069.519999996</v>
      </c>
      <c r="Q26" s="775">
        <v>22736529.170000002</v>
      </c>
      <c r="R26" s="775">
        <v>20171245</v>
      </c>
      <c r="S26" s="775">
        <v>15471509.410000002</v>
      </c>
      <c r="T26" s="775">
        <v>13064738.429999998</v>
      </c>
      <c r="U26" s="776">
        <v>19234554.739999998</v>
      </c>
      <c r="V26" s="397"/>
    </row>
    <row r="27" spans="1:22" x14ac:dyDescent="0.35">
      <c r="C27" s="74" t="s">
        <v>1267</v>
      </c>
      <c r="F27" s="31"/>
      <c r="G27" s="15"/>
      <c r="H27" s="771">
        <v>0</v>
      </c>
      <c r="I27" s="772">
        <v>0</v>
      </c>
      <c r="J27" s="772">
        <v>0</v>
      </c>
      <c r="K27" s="772">
        <v>0</v>
      </c>
      <c r="L27" s="772">
        <v>0</v>
      </c>
      <c r="M27" s="772">
        <v>0</v>
      </c>
      <c r="N27" s="772">
        <v>0</v>
      </c>
      <c r="O27" s="772">
        <v>0</v>
      </c>
      <c r="P27" s="772">
        <v>23337728.889999997</v>
      </c>
      <c r="Q27" s="772">
        <v>20913996.850000001</v>
      </c>
      <c r="R27" s="772">
        <v>18371758.039999999</v>
      </c>
      <c r="S27" s="772">
        <v>14320052.110000001</v>
      </c>
      <c r="T27" s="772">
        <v>12124991.489999998</v>
      </c>
      <c r="U27" s="773">
        <v>17691256.18</v>
      </c>
      <c r="V27" s="397"/>
    </row>
    <row r="28" spans="1:22" x14ac:dyDescent="0.35">
      <c r="C28" s="74" t="s">
        <v>1268</v>
      </c>
      <c r="F28" s="31"/>
      <c r="H28" s="771">
        <v>0</v>
      </c>
      <c r="I28" s="772">
        <v>0</v>
      </c>
      <c r="J28" s="772">
        <v>0</v>
      </c>
      <c r="K28" s="772">
        <v>0</v>
      </c>
      <c r="L28" s="772">
        <v>0</v>
      </c>
      <c r="M28" s="772">
        <v>0</v>
      </c>
      <c r="N28" s="772">
        <v>0</v>
      </c>
      <c r="O28" s="772">
        <v>0</v>
      </c>
      <c r="P28" s="772">
        <v>1335340.6299999999</v>
      </c>
      <c r="Q28" s="772">
        <v>1822532.32</v>
      </c>
      <c r="R28" s="772">
        <v>1799486.96</v>
      </c>
      <c r="S28" s="772">
        <v>1151457.3</v>
      </c>
      <c r="T28" s="772">
        <v>939746.94</v>
      </c>
      <c r="U28" s="773">
        <v>1543298.56</v>
      </c>
      <c r="V28" s="397"/>
    </row>
    <row r="29" spans="1:22" x14ac:dyDescent="0.35">
      <c r="C29" s="367" t="s">
        <v>484</v>
      </c>
      <c r="F29" s="31"/>
      <c r="H29" s="774">
        <v>73653774.289999992</v>
      </c>
      <c r="I29" s="775">
        <v>85037071.969999984</v>
      </c>
      <c r="J29" s="775">
        <v>86184841.029999986</v>
      </c>
      <c r="K29" s="775">
        <v>88100268.920000032</v>
      </c>
      <c r="L29" s="775">
        <v>93580619.490000024</v>
      </c>
      <c r="M29" s="775">
        <v>103567640.52000001</v>
      </c>
      <c r="N29" s="775">
        <v>121051954.18000002</v>
      </c>
      <c r="O29" s="775">
        <v>132941104.87999998</v>
      </c>
      <c r="P29" s="775">
        <v>142928693.20000002</v>
      </c>
      <c r="Q29" s="775">
        <v>165006389.67000005</v>
      </c>
      <c r="R29" s="775">
        <v>168364798.04999998</v>
      </c>
      <c r="S29" s="775">
        <v>167900203.55000001</v>
      </c>
      <c r="T29" s="775">
        <v>170358290.19000003</v>
      </c>
      <c r="U29" s="776">
        <v>167389758.72999999</v>
      </c>
      <c r="V29" s="397"/>
    </row>
    <row r="30" spans="1:22" x14ac:dyDescent="0.35">
      <c r="C30" s="74" t="s">
        <v>1267</v>
      </c>
      <c r="F30" s="31"/>
      <c r="H30" s="771">
        <v>73653774.289999992</v>
      </c>
      <c r="I30" s="772">
        <v>85037071.969999984</v>
      </c>
      <c r="J30" s="772">
        <v>86184841.029999986</v>
      </c>
      <c r="K30" s="772">
        <v>88100268.920000032</v>
      </c>
      <c r="L30" s="772">
        <v>93312451.560000017</v>
      </c>
      <c r="M30" s="772">
        <v>102495907.35000001</v>
      </c>
      <c r="N30" s="772">
        <v>119780703.66000003</v>
      </c>
      <c r="O30" s="772">
        <v>130883694.43999998</v>
      </c>
      <c r="P30" s="772">
        <v>140535300.85000002</v>
      </c>
      <c r="Q30" s="772">
        <v>161674981.46000004</v>
      </c>
      <c r="R30" s="772">
        <v>164536937.08999997</v>
      </c>
      <c r="S30" s="772">
        <v>163494807.92000002</v>
      </c>
      <c r="T30" s="772">
        <v>163723006.86000001</v>
      </c>
      <c r="U30" s="773">
        <v>157993267.03</v>
      </c>
      <c r="V30" s="397"/>
    </row>
    <row r="31" spans="1:22" x14ac:dyDescent="0.35">
      <c r="C31" s="74" t="s">
        <v>1268</v>
      </c>
      <c r="F31" s="31"/>
      <c r="H31" s="771">
        <v>0</v>
      </c>
      <c r="I31" s="772">
        <v>0</v>
      </c>
      <c r="J31" s="772">
        <v>0</v>
      </c>
      <c r="K31" s="772">
        <v>0</v>
      </c>
      <c r="L31" s="772">
        <v>268167.93</v>
      </c>
      <c r="M31" s="772">
        <v>1071733.17</v>
      </c>
      <c r="N31" s="772">
        <v>1271250.52</v>
      </c>
      <c r="O31" s="772">
        <v>2057410.4400000002</v>
      </c>
      <c r="P31" s="772">
        <v>2393392.350000001</v>
      </c>
      <c r="Q31" s="772">
        <v>3331408.21</v>
      </c>
      <c r="R31" s="772">
        <v>3827860.96</v>
      </c>
      <c r="S31" s="772">
        <v>4405395.63</v>
      </c>
      <c r="T31" s="772">
        <v>6635283.3300000001</v>
      </c>
      <c r="U31" s="773">
        <v>9396491.6999999993</v>
      </c>
      <c r="V31" s="397"/>
    </row>
    <row r="32" spans="1:22" x14ac:dyDescent="0.35">
      <c r="C32" s="367" t="s">
        <v>782</v>
      </c>
      <c r="F32" s="31"/>
      <c r="H32" s="774">
        <v>0</v>
      </c>
      <c r="I32" s="775">
        <v>0</v>
      </c>
      <c r="J32" s="775">
        <v>0</v>
      </c>
      <c r="K32" s="775">
        <v>0</v>
      </c>
      <c r="L32" s="775">
        <v>0</v>
      </c>
      <c r="M32" s="775">
        <v>2895062.46</v>
      </c>
      <c r="N32" s="775">
        <v>2614326.5099999998</v>
      </c>
      <c r="O32" s="775">
        <v>2827778.36</v>
      </c>
      <c r="P32" s="775">
        <v>4380169.49</v>
      </c>
      <c r="Q32" s="775">
        <v>4549154.45</v>
      </c>
      <c r="R32" s="775">
        <v>4695883.17</v>
      </c>
      <c r="S32" s="775">
        <v>3824985.1700000004</v>
      </c>
      <c r="T32" s="775">
        <v>3668211.7199999997</v>
      </c>
      <c r="U32" s="776">
        <v>3021657.24</v>
      </c>
      <c r="V32" s="397"/>
    </row>
    <row r="33" spans="3:22" x14ac:dyDescent="0.35">
      <c r="C33" s="74" t="s">
        <v>1267</v>
      </c>
      <c r="F33" s="31"/>
      <c r="H33" s="771">
        <v>0</v>
      </c>
      <c r="I33" s="772">
        <v>0</v>
      </c>
      <c r="J33" s="772">
        <v>0</v>
      </c>
      <c r="K33" s="772">
        <v>0</v>
      </c>
      <c r="L33" s="772">
        <v>0</v>
      </c>
      <c r="M33" s="772">
        <v>2895062.46</v>
      </c>
      <c r="N33" s="772">
        <v>2614326.5099999998</v>
      </c>
      <c r="O33" s="772">
        <v>2827778.36</v>
      </c>
      <c r="P33" s="772">
        <v>4380169.49</v>
      </c>
      <c r="Q33" s="772">
        <v>4549154.45</v>
      </c>
      <c r="R33" s="772">
        <v>4695883.17</v>
      </c>
      <c r="S33" s="772">
        <v>3814364.4000000004</v>
      </c>
      <c r="T33" s="772">
        <v>3448592.42</v>
      </c>
      <c r="U33" s="773">
        <v>2872923.93</v>
      </c>
      <c r="V33" s="397"/>
    </row>
    <row r="34" spans="3:22" x14ac:dyDescent="0.35">
      <c r="C34" s="74" t="s">
        <v>1268</v>
      </c>
      <c r="F34" s="31"/>
      <c r="H34" s="771">
        <v>0</v>
      </c>
      <c r="I34" s="772">
        <v>0</v>
      </c>
      <c r="J34" s="772">
        <v>0</v>
      </c>
      <c r="K34" s="772">
        <v>0</v>
      </c>
      <c r="L34" s="772">
        <v>0</v>
      </c>
      <c r="M34" s="772">
        <v>0</v>
      </c>
      <c r="N34" s="772">
        <v>0</v>
      </c>
      <c r="O34" s="772">
        <v>0</v>
      </c>
      <c r="P34" s="772">
        <v>0</v>
      </c>
      <c r="Q34" s="772">
        <v>0</v>
      </c>
      <c r="R34" s="772">
        <v>0</v>
      </c>
      <c r="S34" s="772">
        <v>10620.77</v>
      </c>
      <c r="T34" s="772">
        <v>219619.3</v>
      </c>
      <c r="U34" s="773">
        <v>148733.31</v>
      </c>
      <c r="V34" s="397"/>
    </row>
    <row r="35" spans="3:22" x14ac:dyDescent="0.35">
      <c r="C35" s="367" t="s">
        <v>485</v>
      </c>
      <c r="F35" s="31"/>
      <c r="H35" s="774">
        <v>21635384.52999999</v>
      </c>
      <c r="I35" s="775">
        <v>23950128.18</v>
      </c>
      <c r="J35" s="775">
        <v>23074777.529999997</v>
      </c>
      <c r="K35" s="775">
        <v>23636372.810000002</v>
      </c>
      <c r="L35" s="775">
        <v>22877426.010000002</v>
      </c>
      <c r="M35" s="775">
        <v>21954767.080000002</v>
      </c>
      <c r="N35" s="775">
        <v>26335950.75</v>
      </c>
      <c r="O35" s="775">
        <v>29799666.829999991</v>
      </c>
      <c r="P35" s="775">
        <v>38169608.999999985</v>
      </c>
      <c r="Q35" s="775">
        <v>49251777.50999999</v>
      </c>
      <c r="R35" s="775">
        <v>45192652.949999981</v>
      </c>
      <c r="S35" s="775">
        <v>44687903.879999988</v>
      </c>
      <c r="T35" s="775">
        <v>56767180.279999994</v>
      </c>
      <c r="U35" s="776">
        <v>38223748.109999999</v>
      </c>
      <c r="V35" s="397"/>
    </row>
    <row r="36" spans="3:22" x14ac:dyDescent="0.35">
      <c r="C36" s="74" t="s">
        <v>1267</v>
      </c>
      <c r="F36" s="31"/>
      <c r="H36" s="771">
        <v>21624469.84999999</v>
      </c>
      <c r="I36" s="772">
        <v>23803349.210000001</v>
      </c>
      <c r="J36" s="772">
        <v>23030877.189999998</v>
      </c>
      <c r="K36" s="772">
        <v>23546634.300000001</v>
      </c>
      <c r="L36" s="772">
        <v>22852732.09</v>
      </c>
      <c r="M36" s="772">
        <v>21917826.550000001</v>
      </c>
      <c r="N36" s="772">
        <v>26270846.530000001</v>
      </c>
      <c r="O36" s="772">
        <v>29699232.59999999</v>
      </c>
      <c r="P36" s="772">
        <v>38050236.559999987</v>
      </c>
      <c r="Q36" s="772">
        <v>48238305.019999988</v>
      </c>
      <c r="R36" s="772">
        <v>44999117.689999983</v>
      </c>
      <c r="S36" s="772">
        <v>44306698.099999987</v>
      </c>
      <c r="T36" s="772">
        <v>54878197.969999991</v>
      </c>
      <c r="U36" s="773">
        <v>37213732.460000001</v>
      </c>
    </row>
    <row r="37" spans="3:22" x14ac:dyDescent="0.35">
      <c r="C37" s="74" t="s">
        <v>1268</v>
      </c>
      <c r="F37" s="31"/>
      <c r="H37" s="771">
        <v>10914.680000000022</v>
      </c>
      <c r="I37" s="772">
        <v>146778.97</v>
      </c>
      <c r="J37" s="772">
        <v>43900.34</v>
      </c>
      <c r="K37" s="772">
        <v>89738.510000000038</v>
      </c>
      <c r="L37" s="772">
        <v>24693.919999999998</v>
      </c>
      <c r="M37" s="772">
        <v>36940.53</v>
      </c>
      <c r="N37" s="772">
        <v>65104.220000000023</v>
      </c>
      <c r="O37" s="772">
        <v>100434.23000000001</v>
      </c>
      <c r="P37" s="772">
        <v>119372.44</v>
      </c>
      <c r="Q37" s="772">
        <v>1013472.49</v>
      </c>
      <c r="R37" s="772">
        <v>193535.26000000004</v>
      </c>
      <c r="S37" s="772">
        <v>381205.77999999997</v>
      </c>
      <c r="T37" s="772">
        <v>1888982.3099999998</v>
      </c>
      <c r="U37" s="773">
        <v>1010015.65</v>
      </c>
    </row>
    <row r="38" spans="3:22" x14ac:dyDescent="0.35">
      <c r="C38" s="367" t="s">
        <v>783</v>
      </c>
      <c r="F38" s="31"/>
      <c r="H38" s="774">
        <v>162515803.72</v>
      </c>
      <c r="I38" s="775">
        <v>181689049.16</v>
      </c>
      <c r="J38" s="775">
        <v>178315779.33000001</v>
      </c>
      <c r="K38" s="775">
        <v>188102801.16</v>
      </c>
      <c r="L38" s="775">
        <v>188686388.92999998</v>
      </c>
      <c r="M38" s="775">
        <v>193063897.74999997</v>
      </c>
      <c r="N38" s="775">
        <v>226111544.83999997</v>
      </c>
      <c r="O38" s="775">
        <v>253666271.02000004</v>
      </c>
      <c r="P38" s="775">
        <v>240572388.88999996</v>
      </c>
      <c r="Q38" s="775">
        <v>288936338.67000002</v>
      </c>
      <c r="R38" s="775">
        <v>326707966.44999999</v>
      </c>
      <c r="S38" s="775">
        <v>343865547.24000001</v>
      </c>
      <c r="T38" s="775">
        <v>367975600.38999999</v>
      </c>
      <c r="U38" s="776">
        <v>292301211.67000002</v>
      </c>
    </row>
    <row r="39" spans="3:22" x14ac:dyDescent="0.35">
      <c r="C39" s="74" t="s">
        <v>1267</v>
      </c>
      <c r="F39" s="31"/>
      <c r="H39" s="771">
        <v>151761013.94</v>
      </c>
      <c r="I39" s="772">
        <v>168882974.28</v>
      </c>
      <c r="J39" s="772">
        <v>168673501.67000002</v>
      </c>
      <c r="K39" s="772">
        <v>179827818.38</v>
      </c>
      <c r="L39" s="772">
        <v>181051939.10999998</v>
      </c>
      <c r="M39" s="772">
        <v>185471945.57999998</v>
      </c>
      <c r="N39" s="772">
        <v>216897163.70999998</v>
      </c>
      <c r="O39" s="772">
        <v>243803090.49000004</v>
      </c>
      <c r="P39" s="772">
        <v>226677712.04999995</v>
      </c>
      <c r="Q39" s="772">
        <v>276456023.93000001</v>
      </c>
      <c r="R39" s="772">
        <v>313514533.5</v>
      </c>
      <c r="S39" s="772">
        <v>328960579.21000004</v>
      </c>
      <c r="T39" s="772">
        <v>351843033.19</v>
      </c>
      <c r="U39" s="773">
        <v>279100023.81999999</v>
      </c>
    </row>
    <row r="40" spans="3:22" x14ac:dyDescent="0.35">
      <c r="C40" s="74" t="s">
        <v>1268</v>
      </c>
      <c r="F40" s="31"/>
      <c r="H40" s="771">
        <v>10754789.779999999</v>
      </c>
      <c r="I40" s="772">
        <v>12806074.880000001</v>
      </c>
      <c r="J40" s="772">
        <v>9642277.6600000001</v>
      </c>
      <c r="K40" s="772">
        <v>8274982.7799999993</v>
      </c>
      <c r="L40" s="772">
        <v>7634449.8199999994</v>
      </c>
      <c r="M40" s="772">
        <v>7591952.1699999999</v>
      </c>
      <c r="N40" s="772">
        <v>9214381.129999999</v>
      </c>
      <c r="O40" s="772">
        <v>9863180.5299999993</v>
      </c>
      <c r="P40" s="772">
        <v>13894676.84</v>
      </c>
      <c r="Q40" s="772">
        <v>12480314.74</v>
      </c>
      <c r="R40" s="772">
        <v>13193432.950000001</v>
      </c>
      <c r="S40" s="772">
        <v>14904968.030000001</v>
      </c>
      <c r="T40" s="772">
        <v>16132567.200000001</v>
      </c>
      <c r="U40" s="773">
        <v>13201187.850000001</v>
      </c>
    </row>
    <row r="41" spans="3:22" x14ac:dyDescent="0.35">
      <c r="C41" s="367" t="s">
        <v>784</v>
      </c>
      <c r="F41" s="31"/>
      <c r="H41" s="774">
        <v>120216503.74000001</v>
      </c>
      <c r="I41" s="775">
        <v>129193189.03</v>
      </c>
      <c r="J41" s="775">
        <v>123829126.71999998</v>
      </c>
      <c r="K41" s="775">
        <v>148047763.20999998</v>
      </c>
      <c r="L41" s="775">
        <v>132434046.86</v>
      </c>
      <c r="M41" s="775">
        <v>121570534.94</v>
      </c>
      <c r="N41" s="775">
        <v>132324292.02000001</v>
      </c>
      <c r="O41" s="775">
        <v>142484304.60999998</v>
      </c>
      <c r="P41" s="775">
        <v>270830437.26000011</v>
      </c>
      <c r="Q41" s="775">
        <v>261082936.81999999</v>
      </c>
      <c r="R41" s="775">
        <v>342086646.23000002</v>
      </c>
      <c r="S41" s="775">
        <v>329956271.00999999</v>
      </c>
      <c r="T41" s="775">
        <v>327647006.90000004</v>
      </c>
      <c r="U41" s="776">
        <v>327264850.98999995</v>
      </c>
    </row>
    <row r="42" spans="3:22" x14ac:dyDescent="0.35">
      <c r="C42" s="74" t="s">
        <v>1267</v>
      </c>
      <c r="F42" s="31"/>
      <c r="H42" s="771">
        <v>115412597.75000001</v>
      </c>
      <c r="I42" s="772">
        <v>125682010.11</v>
      </c>
      <c r="J42" s="772">
        <v>120361704.64999999</v>
      </c>
      <c r="K42" s="772">
        <v>144311941.69999999</v>
      </c>
      <c r="L42" s="772">
        <v>131132816.94</v>
      </c>
      <c r="M42" s="772">
        <v>119509847.31</v>
      </c>
      <c r="N42" s="772">
        <v>127383311.86000001</v>
      </c>
      <c r="O42" s="772">
        <v>136501645.38</v>
      </c>
      <c r="P42" s="772">
        <v>264433104.26000011</v>
      </c>
      <c r="Q42" s="772">
        <v>257048282.31999999</v>
      </c>
      <c r="R42" s="772">
        <v>338256725.80000001</v>
      </c>
      <c r="S42" s="772">
        <v>325384327.51999998</v>
      </c>
      <c r="T42" s="772">
        <v>322980048.80000001</v>
      </c>
      <c r="U42" s="773">
        <v>321913187.02999997</v>
      </c>
    </row>
    <row r="43" spans="3:22" x14ac:dyDescent="0.35">
      <c r="C43" s="74" t="s">
        <v>1268</v>
      </c>
      <c r="F43" s="31"/>
      <c r="H43" s="771">
        <v>4803905.99</v>
      </c>
      <c r="I43" s="772">
        <v>3511178.919999999</v>
      </c>
      <c r="J43" s="772">
        <v>3467422.07</v>
      </c>
      <c r="K43" s="772">
        <v>3735821.51</v>
      </c>
      <c r="L43" s="772">
        <v>1301229.92</v>
      </c>
      <c r="M43" s="772">
        <v>2060687.63</v>
      </c>
      <c r="N43" s="772">
        <v>4940980.16</v>
      </c>
      <c r="O43" s="772">
        <v>5982659.2300000004</v>
      </c>
      <c r="P43" s="772">
        <v>6397333</v>
      </c>
      <c r="Q43" s="772">
        <v>4034654.5000000009</v>
      </c>
      <c r="R43" s="772">
        <v>3829920.4299999997</v>
      </c>
      <c r="S43" s="772">
        <v>4571943.49</v>
      </c>
      <c r="T43" s="772">
        <v>4666958.0999999996</v>
      </c>
      <c r="U43" s="773">
        <v>5351663.96</v>
      </c>
    </row>
    <row r="44" spans="3:22" x14ac:dyDescent="0.35">
      <c r="C44" s="367" t="s">
        <v>785</v>
      </c>
      <c r="F44" s="31"/>
      <c r="H44" s="774">
        <v>0</v>
      </c>
      <c r="I44" s="775">
        <v>0</v>
      </c>
      <c r="J44" s="775">
        <v>0</v>
      </c>
      <c r="K44" s="775">
        <v>0</v>
      </c>
      <c r="L44" s="775">
        <v>0</v>
      </c>
      <c r="M44" s="775">
        <v>2082432.2999999998</v>
      </c>
      <c r="N44" s="775">
        <v>2033311.89</v>
      </c>
      <c r="O44" s="775">
        <v>3993849.39</v>
      </c>
      <c r="P44" s="775">
        <v>4598038.6399999997</v>
      </c>
      <c r="Q44" s="775">
        <v>4440297.16</v>
      </c>
      <c r="R44" s="775">
        <v>12527443.670000002</v>
      </c>
      <c r="S44" s="775">
        <v>12692496.689999999</v>
      </c>
      <c r="T44" s="775">
        <v>24485140.710000001</v>
      </c>
      <c r="U44" s="776">
        <v>18398498.48</v>
      </c>
    </row>
    <row r="45" spans="3:22" x14ac:dyDescent="0.35">
      <c r="C45" s="74" t="s">
        <v>1267</v>
      </c>
      <c r="F45" s="31"/>
      <c r="H45" s="771">
        <v>0</v>
      </c>
      <c r="I45" s="772">
        <v>0</v>
      </c>
      <c r="J45" s="772">
        <v>0</v>
      </c>
      <c r="K45" s="772">
        <v>0</v>
      </c>
      <c r="L45" s="772">
        <v>0</v>
      </c>
      <c r="M45" s="772">
        <v>2017132.14</v>
      </c>
      <c r="N45" s="772">
        <v>1994575.95</v>
      </c>
      <c r="O45" s="772">
        <v>3883737.91</v>
      </c>
      <c r="P45" s="772">
        <v>4595186.18</v>
      </c>
      <c r="Q45" s="772">
        <v>4430833.76</v>
      </c>
      <c r="R45" s="772">
        <v>12216983.780000001</v>
      </c>
      <c r="S45" s="772">
        <v>12258093.039999999</v>
      </c>
      <c r="T45" s="772">
        <v>24349580.789999999</v>
      </c>
      <c r="U45" s="773">
        <v>18299476.02</v>
      </c>
    </row>
    <row r="46" spans="3:22" x14ac:dyDescent="0.35">
      <c r="C46" s="74" t="s">
        <v>1268</v>
      </c>
      <c r="F46" s="31"/>
      <c r="H46" s="771">
        <v>0</v>
      </c>
      <c r="I46" s="772">
        <v>0</v>
      </c>
      <c r="J46" s="772">
        <v>0</v>
      </c>
      <c r="K46" s="772">
        <v>0</v>
      </c>
      <c r="L46" s="772">
        <v>0</v>
      </c>
      <c r="M46" s="772">
        <v>65300.160000000003</v>
      </c>
      <c r="N46" s="772">
        <v>38735.94</v>
      </c>
      <c r="O46" s="772">
        <v>110111.48</v>
      </c>
      <c r="P46" s="772">
        <v>2852.46</v>
      </c>
      <c r="Q46" s="772">
        <v>9463.4</v>
      </c>
      <c r="R46" s="772">
        <v>310459.89</v>
      </c>
      <c r="S46" s="772">
        <v>434403.65</v>
      </c>
      <c r="T46" s="772">
        <v>135559.92000000001</v>
      </c>
      <c r="U46" s="773">
        <v>99022.46</v>
      </c>
    </row>
    <row r="47" spans="3:22" x14ac:dyDescent="0.35">
      <c r="C47" s="766" t="s">
        <v>951</v>
      </c>
      <c r="D47" s="73"/>
      <c r="E47" s="73"/>
      <c r="F47" s="29"/>
      <c r="H47" s="783">
        <v>630083749.35000002</v>
      </c>
      <c r="I47" s="784">
        <v>684072727.89999986</v>
      </c>
      <c r="J47" s="784">
        <v>685887473.82000005</v>
      </c>
      <c r="K47" s="784">
        <v>727270027.33000016</v>
      </c>
      <c r="L47" s="784">
        <v>707751936.47000015</v>
      </c>
      <c r="M47" s="784">
        <v>725621317.11999989</v>
      </c>
      <c r="N47" s="784">
        <v>819277478.33000004</v>
      </c>
      <c r="O47" s="784">
        <v>871890933.01999998</v>
      </c>
      <c r="P47" s="784">
        <v>1057422663.04</v>
      </c>
      <c r="Q47" s="784">
        <v>1152419911.7900004</v>
      </c>
      <c r="R47" s="784">
        <v>1334828272.0599997</v>
      </c>
      <c r="S47" s="784">
        <v>1354478121.6999998</v>
      </c>
      <c r="T47" s="784">
        <v>1344547979.23</v>
      </c>
      <c r="U47" s="785">
        <v>1211738789.8500004</v>
      </c>
    </row>
    <row r="48" spans="3:22" x14ac:dyDescent="0.35">
      <c r="C48" s="764" t="s">
        <v>1267</v>
      </c>
      <c r="F48" s="31"/>
      <c r="H48" s="777">
        <v>614514138.89999986</v>
      </c>
      <c r="I48" s="778">
        <v>667608695.12999988</v>
      </c>
      <c r="J48" s="778">
        <v>672733873.75</v>
      </c>
      <c r="K48" s="778">
        <v>715169484.53000021</v>
      </c>
      <c r="L48" s="778">
        <v>698523394.88000011</v>
      </c>
      <c r="M48" s="778">
        <v>714794703.45999992</v>
      </c>
      <c r="N48" s="778">
        <v>803747026.36000001</v>
      </c>
      <c r="O48" s="778">
        <v>853338460.48999989</v>
      </c>
      <c r="P48" s="778">
        <v>1033168946.7299999</v>
      </c>
      <c r="Q48" s="778">
        <v>1129307274.9300003</v>
      </c>
      <c r="R48" s="778">
        <v>1310537695.2499995</v>
      </c>
      <c r="S48" s="778">
        <v>1326787422.9299998</v>
      </c>
      <c r="T48" s="778">
        <v>1306802727.5799999</v>
      </c>
      <c r="U48" s="779">
        <v>1165361462.6900001</v>
      </c>
    </row>
    <row r="49" spans="3:21" x14ac:dyDescent="0.35">
      <c r="C49" s="765" t="s">
        <v>1268</v>
      </c>
      <c r="D49" s="100"/>
      <c r="E49" s="100"/>
      <c r="F49" s="33"/>
      <c r="H49" s="780">
        <v>15569610.449999999</v>
      </c>
      <c r="I49" s="781">
        <v>16464032.77</v>
      </c>
      <c r="J49" s="781">
        <v>13153600.07</v>
      </c>
      <c r="K49" s="781">
        <v>12100542.799999999</v>
      </c>
      <c r="L49" s="781">
        <v>9228541.5899999999</v>
      </c>
      <c r="M49" s="781">
        <v>10826613.66</v>
      </c>
      <c r="N49" s="781">
        <v>15530451.969999999</v>
      </c>
      <c r="O49" s="781">
        <v>18552472.530000001</v>
      </c>
      <c r="P49" s="781">
        <v>24253716.310000002</v>
      </c>
      <c r="Q49" s="781">
        <v>23112636.859999999</v>
      </c>
      <c r="R49" s="781">
        <v>24290576.810000002</v>
      </c>
      <c r="S49" s="781">
        <v>27690698.770000003</v>
      </c>
      <c r="T49" s="781">
        <v>37745251.650000006</v>
      </c>
      <c r="U49" s="782">
        <v>46377327.159999996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C4FD-CCB7-4EB6-B897-A35725B6983E}">
  <sheetPr>
    <pageSetUpPr fitToPage="1"/>
  </sheetPr>
  <dimension ref="B3:O74"/>
  <sheetViews>
    <sheetView zoomScale="25" zoomScaleNormal="25" workbookViewId="0"/>
  </sheetViews>
  <sheetFormatPr baseColWidth="10" defaultColWidth="11.453125" defaultRowHeight="14.5" x14ac:dyDescent="0.35"/>
  <cols>
    <col min="2" max="2" width="0" hidden="1" customWidth="1"/>
    <col min="3" max="3" width="13.26953125" hidden="1" customWidth="1"/>
    <col min="4" max="4" width="27" customWidth="1"/>
    <col min="5" max="5" width="46.81640625" customWidth="1"/>
    <col min="6" max="6" width="27.54296875" customWidth="1"/>
    <col min="7" max="7" width="29.81640625" customWidth="1"/>
    <col min="8" max="8" width="38.453125" customWidth="1"/>
    <col min="9" max="9" width="33.54296875" customWidth="1"/>
    <col min="10" max="10" width="32.54296875" customWidth="1"/>
  </cols>
  <sheetData>
    <row r="3" spans="2:15" ht="18" x14ac:dyDescent="0.4">
      <c r="B3" s="15" t="s">
        <v>42</v>
      </c>
      <c r="C3" s="79"/>
      <c r="D3" s="15" t="s">
        <v>43</v>
      </c>
      <c r="J3" s="15" t="s">
        <v>44</v>
      </c>
    </row>
    <row r="4" spans="2:15" x14ac:dyDescent="0.35">
      <c r="B4" s="1332" t="s">
        <v>45</v>
      </c>
      <c r="C4" s="1350" t="s">
        <v>46</v>
      </c>
      <c r="D4" s="440" t="s">
        <v>47</v>
      </c>
      <c r="E4" s="1353" t="s">
        <v>48</v>
      </c>
      <c r="F4" s="1356" t="s">
        <v>49</v>
      </c>
      <c r="G4" s="1359" t="s">
        <v>50</v>
      </c>
      <c r="J4" s="93" t="s">
        <v>51</v>
      </c>
      <c r="K4" s="72" t="s">
        <v>52</v>
      </c>
      <c r="L4" s="73"/>
      <c r="M4" s="73"/>
      <c r="N4" s="73"/>
      <c r="O4" s="29"/>
    </row>
    <row r="5" spans="2:15" x14ac:dyDescent="0.35">
      <c r="B5" s="1333"/>
      <c r="C5" s="1351"/>
      <c r="D5" s="441" t="s">
        <v>53</v>
      </c>
      <c r="E5" s="1354"/>
      <c r="F5" s="1357"/>
      <c r="G5" s="1360"/>
      <c r="J5" s="94" t="s">
        <v>16</v>
      </c>
      <c r="K5" s="74" t="s">
        <v>54</v>
      </c>
      <c r="O5" s="31"/>
    </row>
    <row r="6" spans="2:15" ht="15" thickBot="1" x14ac:dyDescent="0.4">
      <c r="B6" s="1333"/>
      <c r="C6" s="1352"/>
      <c r="D6" s="442"/>
      <c r="E6" s="1355"/>
      <c r="F6" s="1358"/>
      <c r="G6" s="1361"/>
      <c r="J6" s="94" t="s">
        <v>18</v>
      </c>
      <c r="K6" s="74" t="s">
        <v>55</v>
      </c>
      <c r="O6" s="31"/>
    </row>
    <row r="7" spans="2:15" ht="29.15" customHeight="1" x14ac:dyDescent="0.35">
      <c r="B7" s="1333"/>
      <c r="C7" s="1341" t="s">
        <v>56</v>
      </c>
      <c r="D7" s="1343" t="s">
        <v>57</v>
      </c>
      <c r="E7" s="1344" t="s">
        <v>58</v>
      </c>
      <c r="F7" s="1345" t="s">
        <v>59</v>
      </c>
      <c r="G7" s="1346" t="s">
        <v>60</v>
      </c>
      <c r="J7" s="94" t="s">
        <v>20</v>
      </c>
      <c r="K7" s="74" t="s">
        <v>61</v>
      </c>
      <c r="O7" s="31"/>
    </row>
    <row r="8" spans="2:15" x14ac:dyDescent="0.35">
      <c r="B8" s="1333"/>
      <c r="C8" s="1342"/>
      <c r="D8" s="1336"/>
      <c r="E8" s="1337"/>
      <c r="F8" s="1338"/>
      <c r="G8" s="1335"/>
      <c r="J8" s="94" t="s">
        <v>22</v>
      </c>
      <c r="K8" s="74" t="s">
        <v>62</v>
      </c>
      <c r="O8" s="31"/>
    </row>
    <row r="9" spans="2:15" ht="59.15" customHeight="1" thickBot="1" x14ac:dyDescent="0.4">
      <c r="B9" s="1333"/>
      <c r="C9" s="1342"/>
      <c r="D9" s="1336" t="s">
        <v>63</v>
      </c>
      <c r="E9" s="1337" t="s">
        <v>64</v>
      </c>
      <c r="F9" s="1338" t="s">
        <v>65</v>
      </c>
      <c r="G9" s="1335" t="s">
        <v>66</v>
      </c>
      <c r="J9" s="94" t="s">
        <v>24</v>
      </c>
      <c r="K9" s="74" t="s">
        <v>67</v>
      </c>
      <c r="O9" s="31"/>
    </row>
    <row r="10" spans="2:15" ht="15" hidden="1" thickBot="1" x14ac:dyDescent="0.4">
      <c r="B10" s="1333"/>
      <c r="C10" s="1348"/>
      <c r="D10" s="1349"/>
      <c r="E10" s="1347"/>
      <c r="F10" s="1339"/>
      <c r="G10" s="1340"/>
      <c r="J10" s="94" t="s">
        <v>68</v>
      </c>
      <c r="K10" s="74" t="s">
        <v>69</v>
      </c>
      <c r="O10" s="31"/>
    </row>
    <row r="11" spans="2:15" ht="48" customHeight="1" x14ac:dyDescent="0.35">
      <c r="B11" s="1333"/>
      <c r="C11" s="1341" t="s">
        <v>70</v>
      </c>
      <c r="D11" s="1343" t="s">
        <v>71</v>
      </c>
      <c r="E11" s="1344" t="s">
        <v>72</v>
      </c>
      <c r="F11" s="1345" t="s">
        <v>73</v>
      </c>
      <c r="G11" s="1346" t="s">
        <v>59</v>
      </c>
      <c r="J11" s="94" t="s">
        <v>26</v>
      </c>
      <c r="K11" s="74" t="s">
        <v>74</v>
      </c>
      <c r="O11" s="31"/>
    </row>
    <row r="12" spans="2:15" x14ac:dyDescent="0.35">
      <c r="B12" s="1333"/>
      <c r="C12" s="1342"/>
      <c r="D12" s="1336"/>
      <c r="E12" s="1337"/>
      <c r="F12" s="1338"/>
      <c r="G12" s="1335"/>
      <c r="J12" s="94" t="s">
        <v>28</v>
      </c>
      <c r="K12" s="74" t="s">
        <v>75</v>
      </c>
      <c r="O12" s="31"/>
    </row>
    <row r="13" spans="2:15" ht="56.5" customHeight="1" x14ac:dyDescent="0.35">
      <c r="B13" s="1333"/>
      <c r="C13" s="1342"/>
      <c r="D13" s="1336" t="s">
        <v>76</v>
      </c>
      <c r="E13" s="1337" t="s">
        <v>77</v>
      </c>
      <c r="F13" s="1338" t="s">
        <v>78</v>
      </c>
      <c r="G13" s="1335" t="s">
        <v>79</v>
      </c>
      <c r="J13" s="95" t="s">
        <v>80</v>
      </c>
      <c r="K13" s="99" t="s">
        <v>81</v>
      </c>
      <c r="L13" s="100"/>
      <c r="M13" s="100"/>
      <c r="N13" s="100"/>
      <c r="O13" s="33"/>
    </row>
    <row r="14" spans="2:15" ht="15" thickBot="1" x14ac:dyDescent="0.4">
      <c r="B14" s="1333"/>
      <c r="C14" s="1348"/>
      <c r="D14" s="1349"/>
      <c r="E14" s="1347"/>
      <c r="F14" s="1339"/>
      <c r="G14" s="1340"/>
    </row>
    <row r="15" spans="2:15" ht="36.65" customHeight="1" x14ac:dyDescent="0.35">
      <c r="B15" s="1333"/>
      <c r="C15" s="1341" t="s">
        <v>82</v>
      </c>
      <c r="D15" s="1343" t="s">
        <v>83</v>
      </c>
      <c r="E15" s="1344" t="s">
        <v>84</v>
      </c>
      <c r="F15" s="1345" t="s">
        <v>59</v>
      </c>
      <c r="G15" s="1346" t="s">
        <v>59</v>
      </c>
    </row>
    <row r="16" spans="2:15" x14ac:dyDescent="0.35">
      <c r="B16" s="1333"/>
      <c r="C16" s="1342"/>
      <c r="D16" s="1336"/>
      <c r="E16" s="1337"/>
      <c r="F16" s="1338"/>
      <c r="G16" s="1335"/>
    </row>
    <row r="17" spans="2:10" ht="14.15" customHeight="1" x14ac:dyDescent="0.35">
      <c r="B17" s="1333"/>
      <c r="C17" s="1342"/>
      <c r="D17" s="1336" t="s">
        <v>85</v>
      </c>
      <c r="E17" s="1337" t="s">
        <v>86</v>
      </c>
      <c r="F17" s="1338" t="s">
        <v>59</v>
      </c>
      <c r="G17" s="1335" t="s">
        <v>59</v>
      </c>
    </row>
    <row r="18" spans="2:10" x14ac:dyDescent="0.35">
      <c r="B18" s="1333"/>
      <c r="C18" s="1342"/>
      <c r="D18" s="1336"/>
      <c r="E18" s="1337"/>
      <c r="F18" s="1338"/>
      <c r="G18" s="1335"/>
    </row>
    <row r="19" spans="2:10" x14ac:dyDescent="0.35">
      <c r="B19" s="1333"/>
      <c r="C19" s="1342"/>
      <c r="D19" s="1336" t="s">
        <v>87</v>
      </c>
      <c r="E19" s="1337" t="s">
        <v>88</v>
      </c>
      <c r="F19" s="82" t="s">
        <v>89</v>
      </c>
      <c r="G19" s="1335" t="s">
        <v>59</v>
      </c>
    </row>
    <row r="20" spans="2:10" x14ac:dyDescent="0.35">
      <c r="B20" s="1333"/>
      <c r="C20" s="1342"/>
      <c r="D20" s="1336"/>
      <c r="E20" s="1337"/>
      <c r="F20" s="80"/>
      <c r="G20" s="1335"/>
    </row>
    <row r="21" spans="2:10" x14ac:dyDescent="0.35">
      <c r="B21" s="1333"/>
      <c r="C21" s="1342"/>
      <c r="D21" s="1336"/>
      <c r="E21" s="1337"/>
      <c r="F21" s="82" t="s">
        <v>90</v>
      </c>
      <c r="G21" s="1335"/>
    </row>
    <row r="22" spans="2:10" x14ac:dyDescent="0.35">
      <c r="B22" s="1333"/>
      <c r="C22" s="1342"/>
      <c r="D22" s="1336"/>
      <c r="E22" s="1337"/>
      <c r="F22" s="81"/>
      <c r="G22" s="1335"/>
    </row>
    <row r="23" spans="2:10" ht="29.15" customHeight="1" x14ac:dyDescent="0.35">
      <c r="B23" s="1333"/>
      <c r="C23" s="1342"/>
      <c r="D23" s="1336" t="s">
        <v>91</v>
      </c>
      <c r="E23" s="1337" t="s">
        <v>92</v>
      </c>
      <c r="F23" s="1338" t="s">
        <v>93</v>
      </c>
      <c r="G23" s="443" t="s">
        <v>94</v>
      </c>
    </row>
    <row r="24" spans="2:10" x14ac:dyDescent="0.35">
      <c r="B24" s="1333"/>
      <c r="C24" s="1342"/>
      <c r="D24" s="1336"/>
      <c r="E24" s="1337"/>
      <c r="F24" s="1338"/>
      <c r="G24" s="444"/>
    </row>
    <row r="25" spans="2:10" x14ac:dyDescent="0.35">
      <c r="B25" s="1333"/>
      <c r="C25" s="1342"/>
      <c r="D25" s="1336"/>
      <c r="E25" s="1337"/>
      <c r="F25" s="1338"/>
      <c r="G25" s="443" t="s">
        <v>95</v>
      </c>
    </row>
    <row r="26" spans="2:10" x14ac:dyDescent="0.35">
      <c r="B26" s="1334"/>
      <c r="C26" s="1342"/>
      <c r="D26" s="1336"/>
      <c r="E26" s="1337"/>
      <c r="F26" s="1338"/>
      <c r="G26" s="445"/>
    </row>
    <row r="27" spans="2:10" ht="83.5" x14ac:dyDescent="0.35">
      <c r="B27" s="84" t="s">
        <v>96</v>
      </c>
      <c r="C27" s="85" t="s">
        <v>97</v>
      </c>
      <c r="D27" s="85" t="s">
        <v>98</v>
      </c>
      <c r="E27" s="86"/>
      <c r="F27" s="87" t="s">
        <v>99</v>
      </c>
      <c r="G27" s="101" t="s">
        <v>100</v>
      </c>
    </row>
    <row r="28" spans="2:10" x14ac:dyDescent="0.35">
      <c r="B28" s="173"/>
      <c r="C28" s="174"/>
      <c r="D28" s="174"/>
      <c r="E28" s="171"/>
      <c r="F28" s="171"/>
      <c r="G28" s="172"/>
    </row>
    <row r="29" spans="2:10" x14ac:dyDescent="0.35">
      <c r="B29" s="173"/>
      <c r="C29" s="174"/>
      <c r="D29" s="174"/>
      <c r="E29" s="171"/>
      <c r="F29" s="171"/>
      <c r="G29" s="172"/>
    </row>
    <row r="30" spans="2:10" x14ac:dyDescent="0.35">
      <c r="B30" s="15" t="s">
        <v>101</v>
      </c>
      <c r="D30" s="15" t="s">
        <v>102</v>
      </c>
      <c r="I30" s="15" t="s">
        <v>103</v>
      </c>
      <c r="J30" t="s">
        <v>104</v>
      </c>
    </row>
    <row r="31" spans="2:10" ht="195.65" customHeight="1" x14ac:dyDescent="0.35">
      <c r="B31" s="157" t="s">
        <v>105</v>
      </c>
      <c r="C31" s="158" t="s">
        <v>106</v>
      </c>
      <c r="D31" s="282" t="s">
        <v>57</v>
      </c>
      <c r="E31" s="160" t="s">
        <v>107</v>
      </c>
      <c r="F31" s="159" t="s">
        <v>108</v>
      </c>
      <c r="G31" s="158" t="s">
        <v>109</v>
      </c>
      <c r="H31" s="148" t="s">
        <v>110</v>
      </c>
      <c r="I31" s="289"/>
      <c r="J31" s="295"/>
    </row>
    <row r="32" spans="2:10" ht="65" x14ac:dyDescent="0.35">
      <c r="B32" s="146" t="s">
        <v>105</v>
      </c>
      <c r="C32" s="161" t="s">
        <v>106</v>
      </c>
      <c r="D32" s="283" t="s">
        <v>57</v>
      </c>
      <c r="E32" s="270" t="s">
        <v>111</v>
      </c>
      <c r="F32" s="274">
        <v>1</v>
      </c>
      <c r="G32" s="161" t="s">
        <v>109</v>
      </c>
      <c r="H32" s="147" t="s">
        <v>112</v>
      </c>
      <c r="I32" s="300"/>
      <c r="J32" s="294"/>
    </row>
    <row r="33" spans="2:10" ht="52" x14ac:dyDescent="0.35">
      <c r="B33" s="146" t="s">
        <v>113</v>
      </c>
      <c r="C33" s="161" t="s">
        <v>106</v>
      </c>
      <c r="D33" s="283" t="s">
        <v>114</v>
      </c>
      <c r="E33" s="275" t="s">
        <v>115</v>
      </c>
      <c r="F33" s="274">
        <v>1</v>
      </c>
      <c r="G33" s="276" t="s">
        <v>109</v>
      </c>
      <c r="H33" s="149" t="s">
        <v>116</v>
      </c>
      <c r="I33" s="290"/>
      <c r="J33" s="297"/>
    </row>
    <row r="34" spans="2:10" ht="65" x14ac:dyDescent="0.35">
      <c r="B34" s="146" t="s">
        <v>117</v>
      </c>
      <c r="C34" s="161" t="s">
        <v>106</v>
      </c>
      <c r="D34" s="283" t="s">
        <v>114</v>
      </c>
      <c r="E34" s="275" t="s">
        <v>118</v>
      </c>
      <c r="F34" s="274">
        <v>1</v>
      </c>
      <c r="G34" s="276" t="s">
        <v>109</v>
      </c>
      <c r="H34" s="147" t="s">
        <v>119</v>
      </c>
      <c r="I34" s="299"/>
      <c r="J34" s="296"/>
    </row>
    <row r="35" spans="2:10" ht="26" x14ac:dyDescent="0.35">
      <c r="B35" s="146" t="s">
        <v>120</v>
      </c>
      <c r="C35" s="161" t="s">
        <v>121</v>
      </c>
      <c r="D35" s="283" t="s">
        <v>122</v>
      </c>
      <c r="E35" s="270" t="s">
        <v>123</v>
      </c>
      <c r="F35" s="274">
        <v>1</v>
      </c>
      <c r="G35" s="161" t="s">
        <v>109</v>
      </c>
      <c r="H35" s="147"/>
      <c r="I35" s="290"/>
      <c r="J35" s="298"/>
    </row>
    <row r="36" spans="2:10" ht="39.5" thickBot="1" x14ac:dyDescent="0.4">
      <c r="B36" s="146" t="s">
        <v>124</v>
      </c>
      <c r="C36" s="161" t="s">
        <v>121</v>
      </c>
      <c r="D36" s="283" t="s">
        <v>125</v>
      </c>
      <c r="E36" s="270" t="s">
        <v>126</v>
      </c>
      <c r="F36" s="274">
        <v>1</v>
      </c>
      <c r="G36" s="161" t="s">
        <v>109</v>
      </c>
      <c r="H36" s="150" t="s">
        <v>127</v>
      </c>
      <c r="I36" s="289"/>
      <c r="J36" s="298"/>
    </row>
    <row r="37" spans="2:10" ht="26" x14ac:dyDescent="0.35">
      <c r="B37" s="146" t="s">
        <v>128</v>
      </c>
      <c r="C37" s="161" t="s">
        <v>121</v>
      </c>
      <c r="D37" s="283" t="s">
        <v>129</v>
      </c>
      <c r="E37" s="270" t="s">
        <v>130</v>
      </c>
      <c r="F37" s="274">
        <v>1</v>
      </c>
      <c r="G37" s="161" t="s">
        <v>109</v>
      </c>
      <c r="H37" s="270" t="s">
        <v>131</v>
      </c>
      <c r="I37" s="303"/>
      <c r="J37" s="304"/>
    </row>
    <row r="38" spans="2:10" ht="26" x14ac:dyDescent="0.35">
      <c r="B38" s="146" t="s">
        <v>132</v>
      </c>
      <c r="C38" s="161" t="s">
        <v>121</v>
      </c>
      <c r="D38" s="283" t="s">
        <v>133</v>
      </c>
      <c r="E38" s="270" t="s">
        <v>134</v>
      </c>
      <c r="F38" s="274">
        <v>1</v>
      </c>
      <c r="G38" s="161" t="s">
        <v>109</v>
      </c>
      <c r="H38" s="270"/>
      <c r="I38" s="305"/>
      <c r="J38" s="306"/>
    </row>
    <row r="39" spans="2:10" ht="26" x14ac:dyDescent="0.35">
      <c r="B39" s="146" t="s">
        <v>135</v>
      </c>
      <c r="C39" s="161" t="s">
        <v>121</v>
      </c>
      <c r="D39" s="283" t="s">
        <v>136</v>
      </c>
      <c r="E39" s="270" t="s">
        <v>137</v>
      </c>
      <c r="F39" s="274">
        <v>1</v>
      </c>
      <c r="G39" s="161" t="s">
        <v>109</v>
      </c>
      <c r="H39" s="270" t="s">
        <v>131</v>
      </c>
      <c r="I39" s="307"/>
      <c r="J39" s="308"/>
    </row>
    <row r="40" spans="2:10" ht="39" x14ac:dyDescent="0.35">
      <c r="B40" s="146" t="s">
        <v>138</v>
      </c>
      <c r="C40" s="161" t="s">
        <v>121</v>
      </c>
      <c r="D40" s="283" t="s">
        <v>136</v>
      </c>
      <c r="E40" s="270" t="s">
        <v>139</v>
      </c>
      <c r="F40" s="274">
        <v>1</v>
      </c>
      <c r="G40" s="277" t="s">
        <v>109</v>
      </c>
      <c r="H40" s="270" t="s">
        <v>140</v>
      </c>
      <c r="I40" s="307"/>
      <c r="J40" s="308"/>
    </row>
    <row r="41" spans="2:10" ht="26.5" thickBot="1" x14ac:dyDescent="0.4">
      <c r="B41" s="146" t="s">
        <v>141</v>
      </c>
      <c r="C41" s="161" t="s">
        <v>121</v>
      </c>
      <c r="D41" s="283" t="s">
        <v>142</v>
      </c>
      <c r="E41" s="270" t="s">
        <v>134</v>
      </c>
      <c r="F41" s="274">
        <v>1</v>
      </c>
      <c r="G41" s="161" t="s">
        <v>109</v>
      </c>
      <c r="H41" s="270"/>
      <c r="I41" s="309"/>
      <c r="J41" s="310"/>
    </row>
    <row r="42" spans="2:10" ht="26" x14ac:dyDescent="0.35">
      <c r="B42" s="146" t="s">
        <v>143</v>
      </c>
      <c r="C42" s="161" t="s">
        <v>121</v>
      </c>
      <c r="D42" s="283" t="s">
        <v>144</v>
      </c>
      <c r="E42" s="270" t="s">
        <v>145</v>
      </c>
      <c r="F42" s="274">
        <v>1</v>
      </c>
      <c r="G42" s="161" t="s">
        <v>109</v>
      </c>
      <c r="H42" s="147"/>
      <c r="I42" s="301"/>
      <c r="J42" s="302"/>
    </row>
    <row r="43" spans="2:10" ht="39" x14ac:dyDescent="0.35">
      <c r="B43" s="146" t="s">
        <v>146</v>
      </c>
      <c r="C43" s="161" t="s">
        <v>121</v>
      </c>
      <c r="D43" s="283" t="s">
        <v>147</v>
      </c>
      <c r="E43" s="270" t="s">
        <v>148</v>
      </c>
      <c r="F43" s="274">
        <v>1</v>
      </c>
      <c r="G43" s="161" t="s">
        <v>109</v>
      </c>
      <c r="H43" s="147" t="s">
        <v>149</v>
      </c>
      <c r="I43" s="292"/>
      <c r="J43" s="298"/>
    </row>
    <row r="44" spans="2:10" ht="26.5" thickBot="1" x14ac:dyDescent="0.4">
      <c r="B44" s="146" t="s">
        <v>150</v>
      </c>
      <c r="C44" s="161" t="s">
        <v>121</v>
      </c>
      <c r="D44" s="283" t="s">
        <v>151</v>
      </c>
      <c r="E44" s="272" t="s">
        <v>152</v>
      </c>
      <c r="F44" s="278">
        <v>1</v>
      </c>
      <c r="G44" s="162" t="s">
        <v>109</v>
      </c>
      <c r="H44" s="147"/>
      <c r="I44" s="336"/>
      <c r="J44" s="293"/>
    </row>
    <row r="45" spans="2:10" ht="26.5" thickBot="1" x14ac:dyDescent="0.4">
      <c r="B45" s="146" t="s">
        <v>153</v>
      </c>
      <c r="C45" s="161" t="s">
        <v>121</v>
      </c>
      <c r="D45" s="283" t="s">
        <v>154</v>
      </c>
      <c r="E45" s="272" t="s">
        <v>155</v>
      </c>
      <c r="F45" s="278">
        <v>1</v>
      </c>
      <c r="G45" s="162" t="s">
        <v>109</v>
      </c>
      <c r="H45" s="270"/>
      <c r="I45" s="337"/>
      <c r="J45" s="338"/>
    </row>
    <row r="46" spans="2:10" ht="26" x14ac:dyDescent="0.35">
      <c r="B46" s="146" t="s">
        <v>156</v>
      </c>
      <c r="C46" s="161" t="s">
        <v>157</v>
      </c>
      <c r="D46" s="283" t="s">
        <v>57</v>
      </c>
      <c r="E46" s="272" t="s">
        <v>158</v>
      </c>
      <c r="F46" s="274">
        <v>1</v>
      </c>
      <c r="G46" s="161" t="s">
        <v>109</v>
      </c>
      <c r="H46" s="150"/>
      <c r="I46" s="301"/>
      <c r="J46" s="302"/>
    </row>
    <row r="47" spans="2:10" ht="26.5" thickBot="1" x14ac:dyDescent="0.4">
      <c r="B47" s="146" t="s">
        <v>159</v>
      </c>
      <c r="C47" s="161" t="s">
        <v>157</v>
      </c>
      <c r="D47" s="283" t="s">
        <v>160</v>
      </c>
      <c r="E47" s="272" t="s">
        <v>161</v>
      </c>
      <c r="F47" s="278">
        <v>1</v>
      </c>
      <c r="G47" s="279" t="s">
        <v>109</v>
      </c>
      <c r="H47" s="147"/>
      <c r="I47" s="290"/>
      <c r="J47" s="311"/>
    </row>
    <row r="48" spans="2:10" ht="26.5" thickBot="1" x14ac:dyDescent="0.4">
      <c r="B48" s="146" t="s">
        <v>162</v>
      </c>
      <c r="C48" s="162" t="s">
        <v>157</v>
      </c>
      <c r="D48" s="283" t="s">
        <v>163</v>
      </c>
      <c r="E48" s="272" t="s">
        <v>164</v>
      </c>
      <c r="F48" s="278">
        <v>1</v>
      </c>
      <c r="G48" s="162" t="s">
        <v>109</v>
      </c>
      <c r="H48" s="272" t="s">
        <v>165</v>
      </c>
      <c r="I48" s="339"/>
      <c r="J48" s="340"/>
    </row>
    <row r="49" spans="2:10" ht="65" x14ac:dyDescent="0.35">
      <c r="B49" s="146" t="s">
        <v>166</v>
      </c>
      <c r="C49" s="161" t="s">
        <v>167</v>
      </c>
      <c r="D49" s="283" t="s">
        <v>168</v>
      </c>
      <c r="E49" s="272" t="s">
        <v>169</v>
      </c>
      <c r="F49" s="280" t="s">
        <v>170</v>
      </c>
      <c r="G49" s="161" t="s">
        <v>109</v>
      </c>
      <c r="H49" s="272" t="s">
        <v>171</v>
      </c>
      <c r="I49" s="313"/>
      <c r="J49" s="304"/>
    </row>
    <row r="50" spans="2:10" ht="26" x14ac:dyDescent="0.35">
      <c r="B50" s="146" t="s">
        <v>172</v>
      </c>
      <c r="C50" s="161" t="s">
        <v>97</v>
      </c>
      <c r="D50" s="283" t="s">
        <v>173</v>
      </c>
      <c r="E50" s="270" t="s">
        <v>174</v>
      </c>
      <c r="F50" s="274">
        <v>1</v>
      </c>
      <c r="G50" s="279" t="s">
        <v>109</v>
      </c>
      <c r="H50" s="270"/>
      <c r="I50" s="314"/>
      <c r="J50" s="315"/>
    </row>
    <row r="51" spans="2:10" ht="26" x14ac:dyDescent="0.35">
      <c r="B51" s="146" t="s">
        <v>175</v>
      </c>
      <c r="C51" s="161" t="s">
        <v>97</v>
      </c>
      <c r="D51" s="283" t="s">
        <v>173</v>
      </c>
      <c r="E51" s="270" t="s">
        <v>176</v>
      </c>
      <c r="F51" s="274">
        <v>1</v>
      </c>
      <c r="G51" s="279" t="s">
        <v>109</v>
      </c>
      <c r="H51" s="270" t="s">
        <v>177</v>
      </c>
      <c r="I51" s="316"/>
      <c r="J51" s="315"/>
    </row>
    <row r="52" spans="2:10" ht="26" x14ac:dyDescent="0.35">
      <c r="B52" s="146" t="s">
        <v>178</v>
      </c>
      <c r="C52" s="161" t="s">
        <v>97</v>
      </c>
      <c r="D52" s="283" t="s">
        <v>179</v>
      </c>
      <c r="E52" s="270" t="s">
        <v>180</v>
      </c>
      <c r="F52" s="274">
        <v>1</v>
      </c>
      <c r="G52" s="279" t="s">
        <v>109</v>
      </c>
      <c r="H52" s="270"/>
      <c r="I52" s="317"/>
      <c r="J52" s="315"/>
    </row>
    <row r="53" spans="2:10" ht="39" x14ac:dyDescent="0.35">
      <c r="B53" s="146" t="s">
        <v>181</v>
      </c>
      <c r="C53" s="161" t="s">
        <v>97</v>
      </c>
      <c r="D53" s="283" t="s">
        <v>179</v>
      </c>
      <c r="E53" s="270" t="s">
        <v>182</v>
      </c>
      <c r="F53" s="274" t="s">
        <v>183</v>
      </c>
      <c r="G53" s="279" t="s">
        <v>109</v>
      </c>
      <c r="H53" s="270" t="s">
        <v>177</v>
      </c>
      <c r="I53" s="314"/>
      <c r="J53" s="308"/>
    </row>
    <row r="54" spans="2:10" ht="26" x14ac:dyDescent="0.35">
      <c r="B54" s="146" t="s">
        <v>184</v>
      </c>
      <c r="C54" s="161" t="s">
        <v>97</v>
      </c>
      <c r="D54" s="283" t="s">
        <v>185</v>
      </c>
      <c r="E54" s="270" t="s">
        <v>186</v>
      </c>
      <c r="F54" s="274">
        <v>1</v>
      </c>
      <c r="G54" s="279" t="s">
        <v>109</v>
      </c>
      <c r="H54" s="270"/>
      <c r="I54" s="316"/>
      <c r="J54" s="315"/>
    </row>
    <row r="55" spans="2:10" ht="26" x14ac:dyDescent="0.35">
      <c r="B55" s="146" t="s">
        <v>187</v>
      </c>
      <c r="C55" s="161" t="s">
        <v>97</v>
      </c>
      <c r="D55" s="283" t="s">
        <v>185</v>
      </c>
      <c r="E55" s="270" t="s">
        <v>188</v>
      </c>
      <c r="F55" s="274">
        <v>1</v>
      </c>
      <c r="G55" s="279" t="s">
        <v>109</v>
      </c>
      <c r="H55" s="270" t="s">
        <v>177</v>
      </c>
      <c r="I55" s="318"/>
      <c r="J55" s="319"/>
    </row>
    <row r="56" spans="2:10" ht="39" x14ac:dyDescent="0.35">
      <c r="B56" s="146" t="s">
        <v>189</v>
      </c>
      <c r="C56" s="161" t="s">
        <v>97</v>
      </c>
      <c r="D56" s="283" t="s">
        <v>190</v>
      </c>
      <c r="E56" s="270" t="s">
        <v>191</v>
      </c>
      <c r="F56" s="274">
        <v>1</v>
      </c>
      <c r="G56" s="281" t="s">
        <v>109</v>
      </c>
      <c r="H56" s="270" t="s">
        <v>192</v>
      </c>
      <c r="I56" s="317"/>
      <c r="J56" s="315"/>
    </row>
    <row r="57" spans="2:10" ht="39" x14ac:dyDescent="0.35">
      <c r="B57" s="146" t="s">
        <v>193</v>
      </c>
      <c r="C57" s="161" t="s">
        <v>97</v>
      </c>
      <c r="D57" s="283" t="s">
        <v>190</v>
      </c>
      <c r="E57" s="270" t="s">
        <v>194</v>
      </c>
      <c r="F57" s="274">
        <v>1</v>
      </c>
      <c r="G57" s="281" t="s">
        <v>109</v>
      </c>
      <c r="H57" s="270" t="s">
        <v>195</v>
      </c>
      <c r="I57" s="316"/>
      <c r="J57" s="320"/>
    </row>
    <row r="58" spans="2:10" ht="26" x14ac:dyDescent="0.35">
      <c r="B58" s="146" t="s">
        <v>196</v>
      </c>
      <c r="C58" s="161" t="s">
        <v>97</v>
      </c>
      <c r="D58" s="283" t="s">
        <v>197</v>
      </c>
      <c r="E58" s="270" t="s">
        <v>198</v>
      </c>
      <c r="F58" s="274">
        <v>1</v>
      </c>
      <c r="G58" s="279" t="s">
        <v>109</v>
      </c>
      <c r="H58" s="270" t="s">
        <v>199</v>
      </c>
      <c r="I58" s="305"/>
      <c r="J58" s="320"/>
    </row>
    <row r="59" spans="2:10" ht="39.5" thickBot="1" x14ac:dyDescent="0.4">
      <c r="B59" s="151" t="s">
        <v>200</v>
      </c>
      <c r="C59" s="152" t="s">
        <v>97</v>
      </c>
      <c r="D59" s="284" t="s">
        <v>201</v>
      </c>
      <c r="E59" s="153" t="s">
        <v>202</v>
      </c>
      <c r="F59" s="154">
        <v>1</v>
      </c>
      <c r="G59" s="155" t="s">
        <v>109</v>
      </c>
      <c r="H59" s="153" t="s">
        <v>192</v>
      </c>
      <c r="I59" s="321"/>
      <c r="J59" s="322"/>
    </row>
    <row r="60" spans="2:10" ht="26" x14ac:dyDescent="0.35">
      <c r="B60" s="146" t="s">
        <v>203</v>
      </c>
      <c r="C60" s="161" t="s">
        <v>204</v>
      </c>
      <c r="D60" s="283" t="s">
        <v>205</v>
      </c>
      <c r="E60" s="270" t="s">
        <v>206</v>
      </c>
      <c r="F60" s="274" t="s">
        <v>207</v>
      </c>
      <c r="G60" s="281" t="s">
        <v>109</v>
      </c>
      <c r="H60" s="271" t="s">
        <v>208</v>
      </c>
      <c r="I60" s="313"/>
      <c r="J60" s="323"/>
    </row>
    <row r="61" spans="2:10" ht="52.5" thickBot="1" x14ac:dyDescent="0.4">
      <c r="B61" s="151" t="s">
        <v>209</v>
      </c>
      <c r="C61" s="152" t="s">
        <v>204</v>
      </c>
      <c r="D61" s="284" t="s">
        <v>210</v>
      </c>
      <c r="E61" s="153" t="s">
        <v>211</v>
      </c>
      <c r="F61" s="154" t="s">
        <v>207</v>
      </c>
      <c r="G61" s="155" t="s">
        <v>109</v>
      </c>
      <c r="H61" s="153"/>
      <c r="I61" s="324"/>
      <c r="J61" s="310"/>
    </row>
    <row r="62" spans="2:10" ht="65.5" thickBot="1" x14ac:dyDescent="0.4">
      <c r="B62" s="163" t="s">
        <v>212</v>
      </c>
      <c r="C62" s="164" t="s">
        <v>213</v>
      </c>
      <c r="D62" s="285" t="s">
        <v>214</v>
      </c>
      <c r="E62" s="169" t="s">
        <v>215</v>
      </c>
      <c r="F62" s="166" t="s">
        <v>207</v>
      </c>
      <c r="G62" s="170" t="s">
        <v>109</v>
      </c>
      <c r="H62" s="169"/>
      <c r="I62" s="325"/>
      <c r="J62" s="326"/>
    </row>
    <row r="63" spans="2:10" ht="26" x14ac:dyDescent="0.35">
      <c r="B63" s="146" t="s">
        <v>216</v>
      </c>
      <c r="C63" s="161" t="s">
        <v>217</v>
      </c>
      <c r="D63" s="283" t="s">
        <v>218</v>
      </c>
      <c r="E63" s="272" t="s">
        <v>219</v>
      </c>
      <c r="F63" s="274">
        <v>1</v>
      </c>
      <c r="G63" s="161" t="s">
        <v>109</v>
      </c>
      <c r="H63" s="147"/>
      <c r="I63" s="327"/>
      <c r="J63" s="302"/>
    </row>
    <row r="64" spans="2:10" ht="26" x14ac:dyDescent="0.35">
      <c r="B64" s="146" t="s">
        <v>220</v>
      </c>
      <c r="C64" s="161" t="s">
        <v>217</v>
      </c>
      <c r="D64" s="283" t="s">
        <v>218</v>
      </c>
      <c r="E64" s="272" t="s">
        <v>221</v>
      </c>
      <c r="F64" s="274">
        <v>1</v>
      </c>
      <c r="G64" s="161" t="s">
        <v>109</v>
      </c>
      <c r="H64" s="147"/>
      <c r="I64" s="328"/>
      <c r="J64" s="291"/>
    </row>
    <row r="65" spans="2:10" ht="26" x14ac:dyDescent="0.35">
      <c r="B65" s="146" t="s">
        <v>222</v>
      </c>
      <c r="C65" s="161" t="s">
        <v>217</v>
      </c>
      <c r="D65" s="283" t="s">
        <v>223</v>
      </c>
      <c r="E65" s="272" t="s">
        <v>224</v>
      </c>
      <c r="F65" s="278">
        <v>1</v>
      </c>
      <c r="G65" s="161" t="s">
        <v>109</v>
      </c>
      <c r="H65" s="150" t="s">
        <v>225</v>
      </c>
      <c r="I65" s="312"/>
      <c r="J65" s="291"/>
    </row>
    <row r="66" spans="2:10" ht="26" x14ac:dyDescent="0.35">
      <c r="B66" s="146" t="s">
        <v>226</v>
      </c>
      <c r="C66" s="161" t="s">
        <v>227</v>
      </c>
      <c r="D66" s="286" t="s">
        <v>228</v>
      </c>
      <c r="E66" s="161" t="s">
        <v>229</v>
      </c>
      <c r="F66" s="274">
        <v>1</v>
      </c>
      <c r="G66" s="161" t="s">
        <v>109</v>
      </c>
      <c r="H66" s="147" t="s">
        <v>230</v>
      </c>
      <c r="I66" s="329"/>
      <c r="J66" s="291"/>
    </row>
    <row r="67" spans="2:10" ht="26" x14ac:dyDescent="0.35">
      <c r="B67" s="146" t="s">
        <v>231</v>
      </c>
      <c r="C67" s="161" t="s">
        <v>227</v>
      </c>
      <c r="D67" s="283" t="s">
        <v>232</v>
      </c>
      <c r="E67" s="272" t="s">
        <v>233</v>
      </c>
      <c r="F67" s="278">
        <v>1</v>
      </c>
      <c r="G67" s="162" t="s">
        <v>109</v>
      </c>
      <c r="H67" s="147"/>
      <c r="I67" s="330"/>
      <c r="J67" s="293"/>
    </row>
    <row r="68" spans="2:10" ht="26" x14ac:dyDescent="0.35">
      <c r="B68" s="146" t="s">
        <v>234</v>
      </c>
      <c r="C68" s="161" t="s">
        <v>227</v>
      </c>
      <c r="D68" s="283" t="s">
        <v>232</v>
      </c>
      <c r="E68" s="272" t="s">
        <v>235</v>
      </c>
      <c r="F68" s="278">
        <v>1</v>
      </c>
      <c r="G68" s="162" t="s">
        <v>109</v>
      </c>
      <c r="H68" s="150" t="s">
        <v>236</v>
      </c>
      <c r="I68" s="328"/>
      <c r="J68" s="293"/>
    </row>
    <row r="69" spans="2:10" ht="26" x14ac:dyDescent="0.35">
      <c r="B69" s="146" t="s">
        <v>237</v>
      </c>
      <c r="C69" s="162" t="s">
        <v>227</v>
      </c>
      <c r="D69" s="283" t="s">
        <v>232</v>
      </c>
      <c r="E69" s="272" t="s">
        <v>238</v>
      </c>
      <c r="F69" s="278">
        <v>1</v>
      </c>
      <c r="G69" s="162" t="s">
        <v>109</v>
      </c>
      <c r="H69" s="147" t="s">
        <v>239</v>
      </c>
      <c r="I69" s="312"/>
      <c r="J69" s="293"/>
    </row>
    <row r="70" spans="2:10" ht="26.5" thickBot="1" x14ac:dyDescent="0.4">
      <c r="B70" s="146" t="s">
        <v>240</v>
      </c>
      <c r="C70" s="161" t="s">
        <v>227</v>
      </c>
      <c r="D70" s="287" t="s">
        <v>241</v>
      </c>
      <c r="E70" s="270" t="s">
        <v>242</v>
      </c>
      <c r="F70" s="274">
        <v>1</v>
      </c>
      <c r="G70" s="162" t="s">
        <v>109</v>
      </c>
      <c r="H70" s="147"/>
      <c r="I70" s="235"/>
      <c r="J70" s="298"/>
    </row>
    <row r="71" spans="2:10" ht="26" x14ac:dyDescent="0.35">
      <c r="B71" s="146" t="s">
        <v>243</v>
      </c>
      <c r="C71" s="162" t="s">
        <v>244</v>
      </c>
      <c r="D71" s="283" t="s">
        <v>245</v>
      </c>
      <c r="E71" s="272" t="s">
        <v>246</v>
      </c>
      <c r="F71" s="274">
        <v>1</v>
      </c>
      <c r="G71" s="162" t="s">
        <v>109</v>
      </c>
      <c r="H71" s="270"/>
      <c r="I71" s="332"/>
      <c r="J71" s="333"/>
    </row>
    <row r="72" spans="2:10" ht="24" customHeight="1" thickBot="1" x14ac:dyDescent="0.4">
      <c r="B72" s="146" t="s">
        <v>247</v>
      </c>
      <c r="C72" s="162" t="s">
        <v>244</v>
      </c>
      <c r="D72" s="283" t="s">
        <v>248</v>
      </c>
      <c r="E72" s="272" t="s">
        <v>249</v>
      </c>
      <c r="F72" s="278">
        <v>1</v>
      </c>
      <c r="G72" s="162" t="s">
        <v>109</v>
      </c>
      <c r="H72" s="270"/>
      <c r="I72" s="334"/>
      <c r="J72" s="335"/>
    </row>
    <row r="73" spans="2:10" ht="51.65" customHeight="1" x14ac:dyDescent="0.35">
      <c r="B73" s="151" t="s">
        <v>250</v>
      </c>
      <c r="C73" s="152" t="s">
        <v>251</v>
      </c>
      <c r="D73" s="288" t="s">
        <v>252</v>
      </c>
      <c r="E73" s="153" t="s">
        <v>253</v>
      </c>
      <c r="F73" s="154">
        <v>1</v>
      </c>
      <c r="G73" s="152" t="s">
        <v>109</v>
      </c>
      <c r="H73" s="156" t="s">
        <v>254</v>
      </c>
      <c r="I73" s="297"/>
      <c r="J73" s="331"/>
    </row>
    <row r="74" spans="2:10" ht="26" x14ac:dyDescent="0.35">
      <c r="B74" s="163" t="s">
        <v>255</v>
      </c>
      <c r="C74" s="164" t="s">
        <v>256</v>
      </c>
      <c r="D74" s="285" t="s">
        <v>257</v>
      </c>
      <c r="E74" s="165" t="s">
        <v>258</v>
      </c>
      <c r="F74" s="166">
        <v>1</v>
      </c>
      <c r="G74" s="167" t="s">
        <v>109</v>
      </c>
      <c r="H74" s="168" t="s">
        <v>259</v>
      </c>
      <c r="I74" s="273"/>
      <c r="J74" s="331"/>
    </row>
  </sheetData>
  <mergeCells count="38">
    <mergeCell ref="C4:C6"/>
    <mergeCell ref="E4:E6"/>
    <mergeCell ref="F4:F6"/>
    <mergeCell ref="G4:G6"/>
    <mergeCell ref="C7:C10"/>
    <mergeCell ref="D7:D8"/>
    <mergeCell ref="E7:E8"/>
    <mergeCell ref="F7:F8"/>
    <mergeCell ref="G7:G8"/>
    <mergeCell ref="D9:D10"/>
    <mergeCell ref="C11:C14"/>
    <mergeCell ref="D11:D12"/>
    <mergeCell ref="E11:E12"/>
    <mergeCell ref="F11:F12"/>
    <mergeCell ref="G11:G12"/>
    <mergeCell ref="D13:D14"/>
    <mergeCell ref="E13:E14"/>
    <mergeCell ref="E17:E18"/>
    <mergeCell ref="F17:F18"/>
    <mergeCell ref="E9:E10"/>
    <mergeCell ref="F9:F10"/>
    <mergeCell ref="G9:G10"/>
    <mergeCell ref="B4:B26"/>
    <mergeCell ref="G17:G18"/>
    <mergeCell ref="D19:D22"/>
    <mergeCell ref="E19:E22"/>
    <mergeCell ref="G19:G22"/>
    <mergeCell ref="D23:D26"/>
    <mergeCell ref="E23:E26"/>
    <mergeCell ref="F23:F26"/>
    <mergeCell ref="F13:F14"/>
    <mergeCell ref="G13:G14"/>
    <mergeCell ref="C15:C26"/>
    <mergeCell ref="D15:D16"/>
    <mergeCell ref="E15:E16"/>
    <mergeCell ref="F15:F16"/>
    <mergeCell ref="G15:G16"/>
    <mergeCell ref="D17:D18"/>
  </mergeCells>
  <conditionalFormatting sqref="G31:G37">
    <cfRule type="containsText" dxfId="11" priority="13" operator="containsText" text="neutre">
      <formula>NOT(ISERROR(SEARCH("neutre",G31)))</formula>
    </cfRule>
    <cfRule type="containsText" dxfId="10" priority="14" operator="containsText" text="Défavorable">
      <formula>NOT(ISERROR(SEARCH(("Défavorable"),(G31))))</formula>
    </cfRule>
    <cfRule type="containsText" dxfId="9" priority="15" operator="containsText" text="Très favorable">
      <formula>NOT(ISERROR(SEARCH(("Très favorable"),(G31))))</formula>
    </cfRule>
    <cfRule type="containsText" dxfId="8" priority="16" operator="containsText" text="Favorable sous conditions">
      <formula>NOT(ISERROR(SEARCH("Favorable sous conditions",G31)))</formula>
    </cfRule>
  </conditionalFormatting>
  <conditionalFormatting sqref="G37:G74">
    <cfRule type="containsText" dxfId="7" priority="5" operator="containsText" text="neutre">
      <formula>NOT(ISERROR(SEARCH("neutre",G37)))</formula>
    </cfRule>
    <cfRule type="containsText" dxfId="6" priority="6" operator="containsText" text="Défavorable">
      <formula>NOT(ISERROR(SEARCH(("Défavorable"),(G37))))</formula>
    </cfRule>
    <cfRule type="containsText" dxfId="5" priority="7" operator="containsText" text="Très favorable">
      <formula>NOT(ISERROR(SEARCH(("Très favorable"),(G37))))</formula>
    </cfRule>
    <cfRule type="containsText" dxfId="4" priority="8" operator="containsText" text="Favorable sous conditions">
      <formula>NOT(ISERROR(SEARCH("Favorable sous conditions",G37)))</formula>
    </cfRule>
  </conditionalFormatting>
  <conditionalFormatting sqref="G40">
    <cfRule type="containsText" dxfId="3" priority="1" operator="containsText" text="neutre">
      <formula>NOT(ISERROR(SEARCH("neutre",G40)))</formula>
    </cfRule>
    <cfRule type="containsText" dxfId="2" priority="2" operator="containsText" text="Défavorable">
      <formula>NOT(ISERROR(SEARCH(("Défavorable"),(G40))))</formula>
    </cfRule>
    <cfRule type="containsText" dxfId="1" priority="3" operator="containsText" text="Très favorable">
      <formula>NOT(ISERROR(SEARCH(("Très favorable"),(G40))))</formula>
    </cfRule>
    <cfRule type="containsText" dxfId="0" priority="4" operator="containsText" text="Favorable sous conditions">
      <formula>NOT(ISERROR(SEARCH("Favorable sous conditions",G40)))</formula>
    </cfRule>
  </conditionalFormatting>
  <pageMargins left="0.7" right="0.7" top="0.75" bottom="0.75" header="0.3" footer="0.3"/>
  <pageSetup paperSize="8"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FA8C6-E874-42D1-B065-F9DF92B4901B}">
  <dimension ref="A1:T242"/>
  <sheetViews>
    <sheetView showGridLines="0" zoomScale="25" zoomScaleNormal="25" workbookViewId="0">
      <pane ySplit="1" topLeftCell="A2" activePane="bottomLeft" state="frozen"/>
      <selection pane="bottomLeft" activeCell="L218" sqref="L218"/>
    </sheetView>
  </sheetViews>
  <sheetFormatPr baseColWidth="10" defaultColWidth="11.453125" defaultRowHeight="14.5" x14ac:dyDescent="0.35"/>
  <cols>
    <col min="3" max="3" width="53.453125" customWidth="1"/>
    <col min="4" max="4" width="11.54296875" customWidth="1"/>
    <col min="5" max="5" width="20.1796875" bestFit="1" customWidth="1"/>
    <col min="6" max="6" width="17.1796875" bestFit="1" customWidth="1"/>
    <col min="7" max="7" width="16.7265625" bestFit="1" customWidth="1"/>
    <col min="8" max="9" width="17.1796875" bestFit="1" customWidth="1"/>
    <col min="10" max="11" width="16.7265625" bestFit="1" customWidth="1"/>
    <col min="12" max="12" width="17.1796875" bestFit="1" customWidth="1"/>
    <col min="13" max="13" width="16.453125" bestFit="1" customWidth="1"/>
    <col min="14" max="16" width="17.1796875" bestFit="1" customWidth="1"/>
    <col min="17" max="17" width="16.453125" bestFit="1" customWidth="1"/>
  </cols>
  <sheetData>
    <row r="1" spans="1:20" ht="21" x14ac:dyDescent="0.35">
      <c r="A1" s="1" t="s">
        <v>260</v>
      </c>
      <c r="E1" s="175">
        <v>2011</v>
      </c>
      <c r="F1" s="176">
        <v>2012</v>
      </c>
      <c r="G1" s="176">
        <v>2013</v>
      </c>
      <c r="H1" s="176">
        <v>2014</v>
      </c>
      <c r="I1" s="176">
        <v>2015</v>
      </c>
      <c r="J1" s="176">
        <v>2016</v>
      </c>
      <c r="K1" s="176">
        <v>2017</v>
      </c>
      <c r="L1" s="176">
        <v>2018</v>
      </c>
      <c r="M1" s="176">
        <v>2019</v>
      </c>
      <c r="N1" s="176">
        <v>2020</v>
      </c>
      <c r="O1" s="176">
        <v>2021</v>
      </c>
      <c r="P1" s="176">
        <v>2022</v>
      </c>
      <c r="Q1" s="557">
        <v>2023</v>
      </c>
      <c r="R1" s="557">
        <v>2024</v>
      </c>
    </row>
    <row r="2" spans="1:20" x14ac:dyDescent="0.35">
      <c r="C2" s="15"/>
      <c r="D2" s="15"/>
    </row>
    <row r="3" spans="1:20" x14ac:dyDescent="0.35">
      <c r="K3" s="96"/>
    </row>
    <row r="4" spans="1:20" x14ac:dyDescent="0.35">
      <c r="C4" s="999" t="s">
        <v>261</v>
      </c>
      <c r="D4" s="1028"/>
      <c r="E4" s="985">
        <v>2011</v>
      </c>
      <c r="F4" s="986">
        <v>2012</v>
      </c>
      <c r="G4" s="986">
        <v>2013</v>
      </c>
      <c r="H4" s="986">
        <v>2014</v>
      </c>
      <c r="I4" s="986">
        <v>2015</v>
      </c>
      <c r="J4" s="986">
        <v>2016</v>
      </c>
      <c r="K4" s="987">
        <v>2017</v>
      </c>
      <c r="L4" s="987">
        <v>2018</v>
      </c>
      <c r="M4" s="987">
        <v>2019</v>
      </c>
      <c r="N4" s="987">
        <v>2020</v>
      </c>
      <c r="O4" s="987">
        <v>2021</v>
      </c>
      <c r="P4" s="987">
        <v>2022</v>
      </c>
      <c r="Q4" s="988">
        <v>2023</v>
      </c>
      <c r="S4" s="1270" t="s">
        <v>262</v>
      </c>
      <c r="T4" s="1270" t="s">
        <v>263</v>
      </c>
    </row>
    <row r="5" spans="1:20" x14ac:dyDescent="0.35">
      <c r="A5" t="s">
        <v>264</v>
      </c>
      <c r="C5" s="72" t="s">
        <v>265</v>
      </c>
      <c r="D5" s="73" t="s">
        <v>266</v>
      </c>
      <c r="E5" s="181">
        <f>CT_RENO!H68</f>
        <v>298.90044230129268</v>
      </c>
      <c r="F5" s="182">
        <f>CT_RENO!I68</f>
        <v>309.96916477238227</v>
      </c>
      <c r="G5" s="182">
        <f>CT_RENO!J68</f>
        <v>318.26484061515839</v>
      </c>
      <c r="H5" s="182">
        <f>CT_RENO!K68</f>
        <v>323.66808158194419</v>
      </c>
      <c r="I5" s="182">
        <f>CT_RENO!L68</f>
        <v>315.68068987567557</v>
      </c>
      <c r="J5" s="182">
        <f>CT_RENO!M68</f>
        <v>353.66320902101529</v>
      </c>
      <c r="K5" s="182">
        <f>CT_RENO!N68</f>
        <v>378.95815881878286</v>
      </c>
      <c r="L5" s="182">
        <f>CT_RENO!O68</f>
        <v>412.49785160450801</v>
      </c>
      <c r="M5" s="182">
        <f>CT_RENO!P68</f>
        <v>384.19603634532638</v>
      </c>
      <c r="N5" s="182">
        <f>CT_RENO!Q68</f>
        <v>381.9293557671794</v>
      </c>
      <c r="O5" s="182">
        <f>CT_RENO!R68</f>
        <v>505.95505652810988</v>
      </c>
      <c r="P5" s="182">
        <f>CT_RENO!S68</f>
        <v>414.76021525169767</v>
      </c>
      <c r="Q5" s="530">
        <f>CT_RENO!T68</f>
        <v>335.48251784312123</v>
      </c>
      <c r="S5" s="1264">
        <f>Q5/E5-1</f>
        <v>0.1223888304084666</v>
      </c>
      <c r="T5" s="1265">
        <f>Q5/K5-1</f>
        <v>-0.11472411917763092</v>
      </c>
    </row>
    <row r="6" spans="1:20" x14ac:dyDescent="0.35">
      <c r="A6" t="s">
        <v>264</v>
      </c>
      <c r="C6" s="74" t="s">
        <v>267</v>
      </c>
      <c r="D6" t="s">
        <v>268</v>
      </c>
      <c r="E6" s="531">
        <f>TER_NEUF!H114/10^6</f>
        <v>2325.5967741062582</v>
      </c>
      <c r="F6" s="83">
        <f>TER_NEUF!I114/10^6</f>
        <v>2441.8495712919539</v>
      </c>
      <c r="G6" s="83">
        <f>TER_NEUF!J114/10^6</f>
        <v>2611.9856353441164</v>
      </c>
      <c r="H6" s="83">
        <f>TER_NEUF!K114/10^6</f>
        <v>2340.6589959324028</v>
      </c>
      <c r="I6" s="83">
        <f>TER_NEUF!L114/10^6</f>
        <v>2047.3935248542591</v>
      </c>
      <c r="J6" s="83">
        <f>TER_NEUF!M114/10^6</f>
        <v>1955.0988795517314</v>
      </c>
      <c r="K6" s="83">
        <f>TER_NEUF!N114/10^6</f>
        <v>2086.8805643197629</v>
      </c>
      <c r="L6" s="83">
        <f>TER_NEUF!O114/10^6</f>
        <v>2279.9775580049459</v>
      </c>
      <c r="M6" s="83">
        <f>TER_NEUF!P114/10^6</f>
        <v>2574.4277471397645</v>
      </c>
      <c r="N6" s="83">
        <f>TER_NEUF!Q114/10^6</f>
        <v>2168.9351298025276</v>
      </c>
      <c r="O6" s="83">
        <f>TER_NEUF!R114/10^6</f>
        <v>2395.0042844560471</v>
      </c>
      <c r="P6" s="83">
        <f>TER_NEUF!S114/10^6</f>
        <v>2622.1162968211311</v>
      </c>
      <c r="Q6" s="453">
        <f>TER_NEUF!T114/10^6</f>
        <v>2897.9369413372947</v>
      </c>
      <c r="S6" s="1266">
        <f t="shared" ref="S6:S8" si="0">Q6/E6-1</f>
        <v>0.246104644452386</v>
      </c>
      <c r="T6" s="1267">
        <f t="shared" ref="T6:T13" si="1">Q6/K6-1</f>
        <v>0.38864532589190248</v>
      </c>
    </row>
    <row r="7" spans="1:20" x14ac:dyDescent="0.35">
      <c r="A7" t="s">
        <v>269</v>
      </c>
      <c r="C7" s="74" t="s">
        <v>270</v>
      </c>
      <c r="D7" t="s">
        <v>268</v>
      </c>
      <c r="E7" s="1243">
        <f>DEP_ENER!I396</f>
        <v>1650.2740759169224</v>
      </c>
      <c r="F7" s="83">
        <f>DEP_ENER!J396</f>
        <v>1799.345977694562</v>
      </c>
      <c r="G7" s="83">
        <f>DEP_ENER!K396</f>
        <v>1897.485054604866</v>
      </c>
      <c r="H7" s="83">
        <f>DEP_ENER!L396</f>
        <v>1772.3539780243295</v>
      </c>
      <c r="I7" s="83">
        <f>DEP_ENER!M396</f>
        <v>1714.9538041981577</v>
      </c>
      <c r="J7" s="83">
        <f>DEP_ENER!N396</f>
        <v>1622.5459849452591</v>
      </c>
      <c r="K7" s="83">
        <f>DEP_ENER!O396</f>
        <v>1696.5556617523578</v>
      </c>
      <c r="L7" s="83">
        <f>DEP_ENER!P396</f>
        <v>1820.9136082215659</v>
      </c>
      <c r="M7" s="83">
        <f>DEP_ENER!Q396</f>
        <v>1834.8591737453269</v>
      </c>
      <c r="N7" s="83">
        <f>DEP_ENER!R396</f>
        <v>1650.1894774847046</v>
      </c>
      <c r="O7" s="83">
        <f>DEP_ENER!S396</f>
        <v>1814.8382588521936</v>
      </c>
      <c r="P7" s="83">
        <f>DEP_ENER!T396</f>
        <v>2288.7008215520523</v>
      </c>
      <c r="Q7" s="453">
        <f>DEP_ENER!U396</f>
        <v>2683.3284796753874</v>
      </c>
      <c r="S7" s="1266">
        <f t="shared" si="0"/>
        <v>0.62598959702162271</v>
      </c>
      <c r="T7" s="1267">
        <f t="shared" si="1"/>
        <v>0.58163303460600901</v>
      </c>
    </row>
    <row r="8" spans="1:20" x14ac:dyDescent="0.35">
      <c r="A8" t="s">
        <v>264</v>
      </c>
      <c r="C8" s="74" t="s">
        <v>271</v>
      </c>
      <c r="D8" t="s">
        <v>268</v>
      </c>
      <c r="E8" s="531">
        <f>VP!H55</f>
        <v>187.48980783441112</v>
      </c>
      <c r="F8" s="83">
        <f>VP!I55</f>
        <v>185.28098764313265</v>
      </c>
      <c r="G8" s="83">
        <f>VP!J55</f>
        <v>181.43131163013254</v>
      </c>
      <c r="H8" s="83">
        <f>VP!K55</f>
        <v>190.04010150669967</v>
      </c>
      <c r="I8" s="83">
        <f>VP!L55</f>
        <v>214.97074076776076</v>
      </c>
      <c r="J8" s="83">
        <f>VP!M55</f>
        <v>245.0111891718212</v>
      </c>
      <c r="K8" s="83">
        <f>VP!N55</f>
        <v>268.69410011674472</v>
      </c>
      <c r="L8" s="83">
        <f>VP!O55</f>
        <v>258.58625995041234</v>
      </c>
      <c r="M8" s="83">
        <f>VP!P55</f>
        <v>264.7505467641987</v>
      </c>
      <c r="N8" s="83">
        <f>VP!Q55</f>
        <v>158.97019121650223</v>
      </c>
      <c r="O8" s="83">
        <f>VP!R55</f>
        <v>156.86238979582416</v>
      </c>
      <c r="P8" s="83">
        <f>VP!S55</f>
        <v>135.31485584779668</v>
      </c>
      <c r="Q8" s="1015">
        <f>VP!T55</f>
        <v>131.26473492305095</v>
      </c>
      <c r="S8" s="1266">
        <f t="shared" si="0"/>
        <v>-0.29988335665167209</v>
      </c>
      <c r="T8" s="1267">
        <f t="shared" si="1"/>
        <v>-0.51147146563315748</v>
      </c>
    </row>
    <row r="9" spans="1:20" x14ac:dyDescent="0.35">
      <c r="A9" t="s">
        <v>264</v>
      </c>
      <c r="C9" s="74" t="s">
        <v>272</v>
      </c>
      <c r="D9" t="s">
        <v>268</v>
      </c>
      <c r="E9" s="531">
        <f>VUL!H26</f>
        <v>184.182635204842</v>
      </c>
      <c r="F9" s="83">
        <f>VUL!I26</f>
        <v>164.34348718023611</v>
      </c>
      <c r="G9" s="83">
        <f>VUL!J26</f>
        <v>156.37981398636529</v>
      </c>
      <c r="H9" s="83">
        <f>VUL!K26</f>
        <v>159.14016470870015</v>
      </c>
      <c r="I9" s="83">
        <f>VUL!L26</f>
        <v>162.61779191031715</v>
      </c>
      <c r="J9" s="83">
        <f>VUL!M26</f>
        <v>175.5990150834497</v>
      </c>
      <c r="K9" s="83">
        <f>VUL!N26</f>
        <v>188.22773601042175</v>
      </c>
      <c r="L9" s="83">
        <f>VUL!O26</f>
        <v>195.62097339658024</v>
      </c>
      <c r="M9" s="83">
        <f>VUL!P26</f>
        <v>213.70709596567377</v>
      </c>
      <c r="N9" s="83">
        <f>VUL!Q26</f>
        <v>188.34184976851989</v>
      </c>
      <c r="O9" s="83">
        <f>VUL!R26</f>
        <v>214.62647472806563</v>
      </c>
      <c r="P9" s="83">
        <f>VUL!S26</f>
        <v>187.91326442642583</v>
      </c>
      <c r="Q9" s="453">
        <f>VUL!T26</f>
        <v>235.75158222621704</v>
      </c>
      <c r="S9" s="1266">
        <f>Q9/E9-1</f>
        <v>0.27998810508939509</v>
      </c>
      <c r="T9" s="1267">
        <f t="shared" si="1"/>
        <v>0.25248057073355001</v>
      </c>
    </row>
    <row r="10" spans="1:20" x14ac:dyDescent="0.35">
      <c r="A10" t="s">
        <v>264</v>
      </c>
      <c r="C10" s="74" t="s">
        <v>273</v>
      </c>
      <c r="D10" t="s">
        <v>268</v>
      </c>
      <c r="E10" s="531">
        <f>BUSCAR!H70</f>
        <v>772.74406620350351</v>
      </c>
      <c r="F10" s="83">
        <f>BUSCAR!I70</f>
        <v>729.12170597533657</v>
      </c>
      <c r="G10" s="83">
        <f>BUSCAR!J70</f>
        <v>821.33080030072358</v>
      </c>
      <c r="H10" s="83">
        <f>BUSCAR!K70</f>
        <v>695.55379830992365</v>
      </c>
      <c r="I10" s="83">
        <f>BUSCAR!L70</f>
        <v>855.31385428458816</v>
      </c>
      <c r="J10" s="83">
        <f>BUSCAR!M70</f>
        <v>672.12880014246343</v>
      </c>
      <c r="K10" s="83">
        <f>BUSCAR!N70</f>
        <v>581.89167590925058</v>
      </c>
      <c r="L10" s="83">
        <f>BUSCAR!O70</f>
        <v>552.59922654239881</v>
      </c>
      <c r="M10" s="83">
        <f>BUSCAR!P70</f>
        <v>494.16410108095528</v>
      </c>
      <c r="N10" s="83">
        <f>BUSCAR!Q70</f>
        <v>393.82017722563995</v>
      </c>
      <c r="O10" s="83">
        <f>BUSCAR!R70</f>
        <v>265.57272336270643</v>
      </c>
      <c r="P10" s="83">
        <f>BUSCAR!S70</f>
        <v>146.71552277019779</v>
      </c>
      <c r="Q10" s="453">
        <f>BUSCAR!T70</f>
        <v>159.4265252994058</v>
      </c>
      <c r="S10" s="1266">
        <f>Q10/E10-1</f>
        <v>-0.79368780392883598</v>
      </c>
      <c r="T10" s="1267">
        <f t="shared" si="1"/>
        <v>-0.72602026820492049</v>
      </c>
    </row>
    <row r="11" spans="1:20" x14ac:dyDescent="0.35">
      <c r="A11" t="s">
        <v>264</v>
      </c>
      <c r="C11" s="74" t="s">
        <v>274</v>
      </c>
      <c r="D11" t="s">
        <v>268</v>
      </c>
      <c r="E11" s="531">
        <v>64.2</v>
      </c>
      <c r="F11" s="83">
        <v>64.2</v>
      </c>
      <c r="G11" s="83">
        <v>64.2</v>
      </c>
      <c r="H11" s="83">
        <v>64.2</v>
      </c>
      <c r="I11" s="83">
        <v>64.2</v>
      </c>
      <c r="J11" s="83">
        <v>64.2</v>
      </c>
      <c r="K11" s="83">
        <v>64.2</v>
      </c>
      <c r="L11" s="83">
        <v>64.2</v>
      </c>
      <c r="M11" s="83">
        <v>64.2</v>
      </c>
      <c r="N11" s="83">
        <v>64.2</v>
      </c>
      <c r="O11" s="83">
        <v>64.2</v>
      </c>
      <c r="P11" s="83">
        <v>64.2</v>
      </c>
      <c r="Q11" s="453">
        <v>64.2</v>
      </c>
      <c r="S11" s="1266">
        <f t="shared" ref="S11:S13" si="2">Q11/E11-1</f>
        <v>0</v>
      </c>
      <c r="T11" s="1267">
        <f t="shared" si="1"/>
        <v>0</v>
      </c>
    </row>
    <row r="12" spans="1:20" x14ac:dyDescent="0.35">
      <c r="A12" t="s">
        <v>264</v>
      </c>
      <c r="C12" s="74" t="s">
        <v>275</v>
      </c>
      <c r="D12" t="s">
        <v>268</v>
      </c>
      <c r="E12" s="531">
        <f>ROUTES!H107</f>
        <v>1219.885418845141</v>
      </c>
      <c r="F12" s="83">
        <f>ROUTES!I107</f>
        <v>1293.5121066457291</v>
      </c>
      <c r="G12" s="83">
        <f>ROUTES!J107</f>
        <v>1397.5167063490044</v>
      </c>
      <c r="H12" s="83">
        <f>ROUTES!K107</f>
        <v>1225.1697426538863</v>
      </c>
      <c r="I12" s="83">
        <f>ROUTES!L107</f>
        <v>1107.5443875202766</v>
      </c>
      <c r="J12" s="83">
        <f>ROUTES!M107</f>
        <v>1115.5844645395809</v>
      </c>
      <c r="K12" s="83">
        <f>ROUTES!N107</f>
        <v>1185.4679898601817</v>
      </c>
      <c r="L12" s="83">
        <f>ROUTES!O107</f>
        <v>1300.6603976057081</v>
      </c>
      <c r="M12" s="83">
        <f>ROUTES!P107</f>
        <v>1454.1753695889661</v>
      </c>
      <c r="N12" s="83">
        <f>ROUTES!Q107</f>
        <v>1235.6357375173461</v>
      </c>
      <c r="O12" s="83">
        <f>ROUTES!R107</f>
        <v>1296.7544042364093</v>
      </c>
      <c r="P12" s="83">
        <f>ROUTES!S107</f>
        <v>1440</v>
      </c>
      <c r="Q12" s="453">
        <f>ROUTES!T107</f>
        <v>1496.2720677097618</v>
      </c>
      <c r="S12" s="1266">
        <f t="shared" si="2"/>
        <v>0.2265677125039125</v>
      </c>
      <c r="T12" s="1267">
        <f t="shared" si="1"/>
        <v>0.26217838061256926</v>
      </c>
    </row>
    <row r="13" spans="1:20" x14ac:dyDescent="0.35">
      <c r="A13" t="s">
        <v>264</v>
      </c>
      <c r="C13" s="74" t="s">
        <v>276</v>
      </c>
      <c r="D13" t="s">
        <v>268</v>
      </c>
      <c r="E13" s="1016">
        <f>MR_FER!H106</f>
        <v>0</v>
      </c>
      <c r="F13" s="1017">
        <f>MR_FER!I106</f>
        <v>96.761910808633758</v>
      </c>
      <c r="G13" s="1017">
        <f>MR_FER!J106</f>
        <v>160.62087810286286</v>
      </c>
      <c r="H13" s="1017">
        <f>MR_FER!K106</f>
        <v>102.00166435517774</v>
      </c>
      <c r="I13" s="1017">
        <f>MR_FER!L106</f>
        <v>35.353860817491721</v>
      </c>
      <c r="J13" s="1017">
        <f>MR_FER!M106</f>
        <v>48.149798417548041</v>
      </c>
      <c r="K13" s="1017">
        <f>MR_FER!N106</f>
        <v>29.685115540315788</v>
      </c>
      <c r="L13" s="1017">
        <f>MR_FER!O106</f>
        <v>88.294309229024236</v>
      </c>
      <c r="M13" s="1017">
        <f>MR_FER!P106</f>
        <v>71.926756432493974</v>
      </c>
      <c r="N13" s="1017">
        <f>MR_FER!Q106</f>
        <v>103.23398977299442</v>
      </c>
      <c r="O13" s="1017">
        <f>MR_FER!R106</f>
        <v>76.71077245524279</v>
      </c>
      <c r="P13" s="1017">
        <f>MR_FER!S106</f>
        <v>87.078854785630014</v>
      </c>
      <c r="Q13" s="457">
        <f>MR_FER!T106</f>
        <v>0</v>
      </c>
      <c r="S13" s="1268" t="e">
        <f t="shared" si="2"/>
        <v>#DIV/0!</v>
      </c>
      <c r="T13" s="1269">
        <f t="shared" si="1"/>
        <v>-1</v>
      </c>
    </row>
    <row r="14" spans="1:20" x14ac:dyDescent="0.35">
      <c r="C14" s="999" t="s">
        <v>277</v>
      </c>
      <c r="D14" s="1000" t="s">
        <v>268</v>
      </c>
      <c r="E14" s="1229">
        <f t="shared" ref="E14:J14" si="3">SUM(E5:E13)</f>
        <v>6703.2732204123695</v>
      </c>
      <c r="F14" s="1229">
        <f t="shared" si="3"/>
        <v>7084.3849120119658</v>
      </c>
      <c r="G14" s="1229">
        <f t="shared" si="3"/>
        <v>7609.2150409332298</v>
      </c>
      <c r="H14" s="1229">
        <f t="shared" si="3"/>
        <v>6872.7865270730645</v>
      </c>
      <c r="I14" s="1229">
        <f t="shared" si="3"/>
        <v>6518.0286542285266</v>
      </c>
      <c r="J14" s="1229">
        <f t="shared" si="3"/>
        <v>6251.9813408728696</v>
      </c>
      <c r="K14" s="1229">
        <f>SUM(K5:K13)</f>
        <v>6480.5610023278186</v>
      </c>
      <c r="L14" s="1229">
        <f t="shared" ref="L14:P14" si="4">SUM(L5:L13)</f>
        <v>6973.3501845551436</v>
      </c>
      <c r="M14" s="1229">
        <f t="shared" si="4"/>
        <v>7356.4068270627058</v>
      </c>
      <c r="N14" s="1229">
        <f t="shared" si="4"/>
        <v>6345.255908555413</v>
      </c>
      <c r="O14" s="1229">
        <f t="shared" si="4"/>
        <v>6790.5243644145994</v>
      </c>
      <c r="P14" s="1229">
        <f t="shared" si="4"/>
        <v>7386.7998314549304</v>
      </c>
      <c r="Q14" s="1230">
        <f>SUM(Q5:Q13)</f>
        <v>8003.6628490142375</v>
      </c>
    </row>
    <row r="15" spans="1:20" x14ac:dyDescent="0.35">
      <c r="C15" s="437" t="s">
        <v>278</v>
      </c>
      <c r="D15" s="31" t="s">
        <v>268</v>
      </c>
      <c r="E15" s="1231">
        <f t="shared" ref="E15:J15" si="5">E14-E12</f>
        <v>5483.387801567229</v>
      </c>
      <c r="F15" s="1231">
        <f t="shared" si="5"/>
        <v>5790.8728053662362</v>
      </c>
      <c r="G15" s="1231">
        <f t="shared" si="5"/>
        <v>6211.6983345842254</v>
      </c>
      <c r="H15" s="1231">
        <f t="shared" si="5"/>
        <v>5647.6167844191787</v>
      </c>
      <c r="I15" s="1231">
        <f t="shared" si="5"/>
        <v>5410.4842667082503</v>
      </c>
      <c r="J15" s="1231">
        <f t="shared" si="5"/>
        <v>5136.3968763332887</v>
      </c>
      <c r="K15" s="1231">
        <f t="shared" ref="K15:Q15" si="6">K14-K12</f>
        <v>5295.093012467637</v>
      </c>
      <c r="L15" s="1231">
        <f t="shared" si="6"/>
        <v>5672.6897869494351</v>
      </c>
      <c r="M15" s="1231">
        <f t="shared" si="6"/>
        <v>5902.2314574737393</v>
      </c>
      <c r="N15" s="1231">
        <f t="shared" si="6"/>
        <v>5109.6201710380665</v>
      </c>
      <c r="O15" s="1231">
        <f t="shared" si="6"/>
        <v>5493.7699601781896</v>
      </c>
      <c r="P15" s="1231">
        <f t="shared" si="6"/>
        <v>5946.7998314549304</v>
      </c>
      <c r="Q15" s="1232">
        <f t="shared" si="6"/>
        <v>6507.3907813044752</v>
      </c>
    </row>
    <row r="16" spans="1:20" x14ac:dyDescent="0.35">
      <c r="C16" s="437" t="s">
        <v>279</v>
      </c>
      <c r="D16" s="31" t="s">
        <v>268</v>
      </c>
      <c r="E16" s="103">
        <f t="shared" ref="E16:J16" si="7">E14-E6</f>
        <v>4377.6764463061118</v>
      </c>
      <c r="F16" s="103">
        <f t="shared" si="7"/>
        <v>4642.5353407200118</v>
      </c>
      <c r="G16" s="103">
        <f t="shared" si="7"/>
        <v>4997.2294055891134</v>
      </c>
      <c r="H16" s="103">
        <f t="shared" si="7"/>
        <v>4532.1275311406616</v>
      </c>
      <c r="I16" s="103">
        <f t="shared" si="7"/>
        <v>4470.6351293742673</v>
      </c>
      <c r="J16" s="103">
        <f t="shared" si="7"/>
        <v>4296.8824613211382</v>
      </c>
      <c r="K16" s="103">
        <f>K14-K6</f>
        <v>4393.6804380080557</v>
      </c>
      <c r="L16" s="103">
        <f t="shared" ref="L16:Q16" si="8">L14-L6</f>
        <v>4693.3726265501973</v>
      </c>
      <c r="M16" s="103">
        <f t="shared" si="8"/>
        <v>4781.9790799229413</v>
      </c>
      <c r="N16" s="103">
        <f t="shared" si="8"/>
        <v>4176.3207787528854</v>
      </c>
      <c r="O16" s="103">
        <f t="shared" si="8"/>
        <v>4395.5200799585527</v>
      </c>
      <c r="P16" s="103">
        <f t="shared" si="8"/>
        <v>4764.6835346337994</v>
      </c>
      <c r="Q16" s="1233">
        <f t="shared" si="8"/>
        <v>5105.7259076769424</v>
      </c>
    </row>
    <row r="17" spans="3:17" x14ac:dyDescent="0.35">
      <c r="C17" s="437" t="s">
        <v>280</v>
      </c>
      <c r="D17" s="31" t="s">
        <v>268</v>
      </c>
      <c r="E17" s="103">
        <f t="shared" ref="E17:J17" si="9">E14-E12-E6</f>
        <v>3157.7910274609708</v>
      </c>
      <c r="F17" s="103">
        <f t="shared" si="9"/>
        <v>3349.0232340742823</v>
      </c>
      <c r="G17" s="103">
        <f t="shared" si="9"/>
        <v>3599.712699240109</v>
      </c>
      <c r="H17" s="103">
        <f t="shared" si="9"/>
        <v>3306.9577884867758</v>
      </c>
      <c r="I17" s="103">
        <f t="shared" si="9"/>
        <v>3363.0907418539909</v>
      </c>
      <c r="J17" s="103">
        <f t="shared" si="9"/>
        <v>3181.2979967815572</v>
      </c>
      <c r="K17" s="103">
        <f t="shared" ref="K17:P17" si="10">K14-K12-K6</f>
        <v>3208.2124481478741</v>
      </c>
      <c r="L17" s="103">
        <f t="shared" si="10"/>
        <v>3392.7122289444892</v>
      </c>
      <c r="M17" s="103">
        <f t="shared" si="10"/>
        <v>3327.8037103339748</v>
      </c>
      <c r="N17" s="103">
        <f t="shared" si="10"/>
        <v>2940.6850412355388</v>
      </c>
      <c r="O17" s="103">
        <f t="shared" si="10"/>
        <v>3098.7656757221425</v>
      </c>
      <c r="P17" s="103">
        <f t="shared" si="10"/>
        <v>3324.6835346337994</v>
      </c>
      <c r="Q17" s="1233">
        <f>Q14-Q12-Q6</f>
        <v>3609.4538399671806</v>
      </c>
    </row>
    <row r="18" spans="3:17" x14ac:dyDescent="0.35">
      <c r="C18" s="439" t="s">
        <v>281</v>
      </c>
      <c r="D18" s="73" t="s">
        <v>268</v>
      </c>
      <c r="E18" s="1234">
        <f t="shared" ref="E18:J18" si="11">E14-E7</f>
        <v>5052.9991444954467</v>
      </c>
      <c r="F18" s="1231">
        <f t="shared" si="11"/>
        <v>5285.0389343174038</v>
      </c>
      <c r="G18" s="1231">
        <f t="shared" si="11"/>
        <v>5711.7299863283642</v>
      </c>
      <c r="H18" s="1231">
        <f t="shared" si="11"/>
        <v>5100.4325490487354</v>
      </c>
      <c r="I18" s="1231">
        <f t="shared" si="11"/>
        <v>4803.0748500303689</v>
      </c>
      <c r="J18" s="1231">
        <f t="shared" si="11"/>
        <v>4629.4353559276105</v>
      </c>
      <c r="K18" s="1231">
        <f t="shared" ref="K18:Q18" si="12">K14-K7</f>
        <v>4784.0053405754607</v>
      </c>
      <c r="L18" s="1231">
        <f t="shared" si="12"/>
        <v>5152.4365763335772</v>
      </c>
      <c r="M18" s="1231">
        <f t="shared" si="12"/>
        <v>5521.5476533173787</v>
      </c>
      <c r="N18" s="1231">
        <f t="shared" si="12"/>
        <v>4695.0664310707089</v>
      </c>
      <c r="O18" s="1231">
        <f t="shared" si="12"/>
        <v>4975.6861055624058</v>
      </c>
      <c r="P18" s="1231">
        <f t="shared" si="12"/>
        <v>5098.0990099028786</v>
      </c>
      <c r="Q18" s="1232">
        <f t="shared" si="12"/>
        <v>5320.3343693388506</v>
      </c>
    </row>
    <row r="19" spans="3:17" x14ac:dyDescent="0.35">
      <c r="C19" s="437" t="s">
        <v>282</v>
      </c>
      <c r="D19" t="s">
        <v>268</v>
      </c>
      <c r="E19" s="1235">
        <f t="shared" ref="E19:J19" si="13">E14-E12-E7</f>
        <v>3833.1137256503066</v>
      </c>
      <c r="F19" s="103">
        <f t="shared" si="13"/>
        <v>3991.5268276716743</v>
      </c>
      <c r="G19" s="103">
        <f t="shared" si="13"/>
        <v>4314.2132799793599</v>
      </c>
      <c r="H19" s="103">
        <f t="shared" si="13"/>
        <v>3875.2628063948491</v>
      </c>
      <c r="I19" s="103">
        <f t="shared" si="13"/>
        <v>3695.5304625100925</v>
      </c>
      <c r="J19" s="103">
        <f t="shared" si="13"/>
        <v>3513.8508913880296</v>
      </c>
      <c r="K19" s="103">
        <f t="shared" ref="K19:Q19" si="14">K14-K12-K7</f>
        <v>3598.537350715279</v>
      </c>
      <c r="L19" s="103">
        <f t="shared" si="14"/>
        <v>3851.7761787278691</v>
      </c>
      <c r="M19" s="103">
        <f t="shared" si="14"/>
        <v>4067.3722837284122</v>
      </c>
      <c r="N19" s="103">
        <f t="shared" si="14"/>
        <v>3459.4306935533618</v>
      </c>
      <c r="O19" s="103">
        <f t="shared" si="14"/>
        <v>3678.9317013259961</v>
      </c>
      <c r="P19" s="103">
        <f t="shared" si="14"/>
        <v>3658.0990099028782</v>
      </c>
      <c r="Q19" s="1233">
        <f t="shared" si="14"/>
        <v>3824.0623016290879</v>
      </c>
    </row>
    <row r="20" spans="3:17" x14ac:dyDescent="0.35">
      <c r="C20" s="437" t="s">
        <v>283</v>
      </c>
      <c r="D20" t="s">
        <v>268</v>
      </c>
      <c r="E20" s="1235">
        <f>E14-E6-E7-E12</f>
        <v>1507.5169515440484</v>
      </c>
      <c r="F20" s="103">
        <f t="shared" ref="F20:J20" si="15">F14-F6-F7-F12</f>
        <v>1549.6772563797208</v>
      </c>
      <c r="G20" s="103">
        <f t="shared" si="15"/>
        <v>1702.227644635243</v>
      </c>
      <c r="H20" s="103">
        <f t="shared" si="15"/>
        <v>1534.6038104624458</v>
      </c>
      <c r="I20" s="103">
        <f t="shared" si="15"/>
        <v>1648.136937655833</v>
      </c>
      <c r="J20" s="103">
        <f t="shared" si="15"/>
        <v>1558.7520118362982</v>
      </c>
      <c r="K20" s="103">
        <f>K14-K6-K7-K12</f>
        <v>1511.6567863955161</v>
      </c>
      <c r="L20" s="103">
        <f t="shared" ref="L20:Q20" si="16">L14-L6-L7-L12</f>
        <v>1571.7986207229233</v>
      </c>
      <c r="M20" s="103">
        <f t="shared" si="16"/>
        <v>1492.9445365886481</v>
      </c>
      <c r="N20" s="103">
        <f t="shared" si="16"/>
        <v>1290.4955637508347</v>
      </c>
      <c r="O20" s="103">
        <f t="shared" si="16"/>
        <v>1283.9274168699499</v>
      </c>
      <c r="P20" s="103">
        <f t="shared" si="16"/>
        <v>1035.9827130817471</v>
      </c>
      <c r="Q20" s="1233">
        <f t="shared" si="16"/>
        <v>926.12536029179319</v>
      </c>
    </row>
    <row r="21" spans="3:17" x14ac:dyDescent="0.35">
      <c r="C21" s="437" t="s">
        <v>284</v>
      </c>
      <c r="E21" s="1236">
        <f>E14-E13</f>
        <v>6703.2732204123695</v>
      </c>
      <c r="F21" s="1237">
        <f t="shared" ref="F21:Q21" si="17">F14-F13</f>
        <v>6987.623001203332</v>
      </c>
      <c r="G21" s="1237">
        <f t="shared" si="17"/>
        <v>7448.5941628303672</v>
      </c>
      <c r="H21" s="1237">
        <f t="shared" si="17"/>
        <v>6770.7848627178864</v>
      </c>
      <c r="I21" s="1237">
        <f t="shared" si="17"/>
        <v>6482.6747934110354</v>
      </c>
      <c r="J21" s="1237">
        <f t="shared" si="17"/>
        <v>6203.8315424553211</v>
      </c>
      <c r="K21" s="1237">
        <f t="shared" si="17"/>
        <v>6450.8758867875031</v>
      </c>
      <c r="L21" s="1237">
        <f t="shared" si="17"/>
        <v>6885.0558753261193</v>
      </c>
      <c r="M21" s="1237">
        <f t="shared" si="17"/>
        <v>7284.4800706302121</v>
      </c>
      <c r="N21" s="1237">
        <f t="shared" si="17"/>
        <v>6242.0219187824187</v>
      </c>
      <c r="O21" s="1237">
        <f t="shared" si="17"/>
        <v>6713.8135919593569</v>
      </c>
      <c r="P21" s="1237">
        <f t="shared" si="17"/>
        <v>7299.7209766693004</v>
      </c>
      <c r="Q21" s="1238">
        <f t="shared" si="17"/>
        <v>8003.6628490142375</v>
      </c>
    </row>
    <row r="22" spans="3:17" ht="13.5" customHeight="1" x14ac:dyDescent="0.35">
      <c r="C22" s="72" t="s">
        <v>285</v>
      </c>
      <c r="D22" s="73"/>
      <c r="E22" s="44">
        <f>E5+E8+E9+E13+E10</f>
        <v>1443.3169515440493</v>
      </c>
      <c r="F22" s="45">
        <f t="shared" ref="F22:Q22" si="18">F5+F8+F9+F13+F10</f>
        <v>1485.4772563797214</v>
      </c>
      <c r="G22" s="45">
        <f t="shared" si="18"/>
        <v>1638.0276446352427</v>
      </c>
      <c r="H22" s="45">
        <f t="shared" si="18"/>
        <v>1470.4038104624453</v>
      </c>
      <c r="I22" s="45">
        <f t="shared" si="18"/>
        <v>1583.9369376558334</v>
      </c>
      <c r="J22" s="45">
        <f t="shared" si="18"/>
        <v>1494.5520118362977</v>
      </c>
      <c r="K22" s="45">
        <f t="shared" si="18"/>
        <v>1447.4567863955158</v>
      </c>
      <c r="L22" s="45">
        <f t="shared" si="18"/>
        <v>1507.5986207229237</v>
      </c>
      <c r="M22" s="45">
        <f t="shared" si="18"/>
        <v>1428.7445365886481</v>
      </c>
      <c r="N22" s="45">
        <f t="shared" si="18"/>
        <v>1226.2955637508358</v>
      </c>
      <c r="O22" s="45">
        <f t="shared" si="18"/>
        <v>1219.7274168699489</v>
      </c>
      <c r="P22" s="45">
        <f t="shared" si="18"/>
        <v>971.78271308174806</v>
      </c>
      <c r="Q22" s="46">
        <f t="shared" si="18"/>
        <v>861.92536029179496</v>
      </c>
    </row>
    <row r="23" spans="3:17" ht="13" customHeight="1" x14ac:dyDescent="0.35">
      <c r="C23" s="74" t="s">
        <v>286</v>
      </c>
      <c r="E23" s="189">
        <f t="shared" ref="E23:Q23" si="19">E6+E12+E11</f>
        <v>3609.682192951399</v>
      </c>
      <c r="F23" s="178">
        <f t="shared" si="19"/>
        <v>3799.5616779376828</v>
      </c>
      <c r="G23" s="178">
        <f t="shared" si="19"/>
        <v>4073.7023416931206</v>
      </c>
      <c r="H23" s="178">
        <f t="shared" si="19"/>
        <v>3630.0287385862889</v>
      </c>
      <c r="I23" s="178">
        <f t="shared" si="19"/>
        <v>3219.1379123745355</v>
      </c>
      <c r="J23" s="178">
        <f t="shared" si="19"/>
        <v>3134.8833440913122</v>
      </c>
      <c r="K23" s="178">
        <f t="shared" si="19"/>
        <v>3336.5485541799444</v>
      </c>
      <c r="L23" s="178">
        <f t="shared" si="19"/>
        <v>3644.8379556106538</v>
      </c>
      <c r="M23" s="178">
        <f t="shared" si="19"/>
        <v>4092.8031167287304</v>
      </c>
      <c r="N23" s="178">
        <f t="shared" si="19"/>
        <v>3468.7708673198736</v>
      </c>
      <c r="O23" s="178">
        <f t="shared" si="19"/>
        <v>3755.9586886924562</v>
      </c>
      <c r="P23" s="178">
        <f t="shared" si="19"/>
        <v>4126.3162968211309</v>
      </c>
      <c r="Q23" s="190">
        <f t="shared" si="19"/>
        <v>4458.4090090470563</v>
      </c>
    </row>
    <row r="24" spans="3:17" ht="14.5" customHeight="1" x14ac:dyDescent="0.35">
      <c r="C24" s="99" t="s">
        <v>270</v>
      </c>
      <c r="D24" s="100"/>
      <c r="E24" s="721">
        <f t="shared" ref="E24:Q24" si="20">E7</f>
        <v>1650.2740759169224</v>
      </c>
      <c r="F24" s="341">
        <f t="shared" si="20"/>
        <v>1799.345977694562</v>
      </c>
      <c r="G24" s="341">
        <f t="shared" si="20"/>
        <v>1897.485054604866</v>
      </c>
      <c r="H24" s="341">
        <f t="shared" si="20"/>
        <v>1772.3539780243295</v>
      </c>
      <c r="I24" s="341">
        <f t="shared" si="20"/>
        <v>1714.9538041981577</v>
      </c>
      <c r="J24" s="341">
        <f t="shared" si="20"/>
        <v>1622.5459849452591</v>
      </c>
      <c r="K24" s="341">
        <f t="shared" si="20"/>
        <v>1696.5556617523578</v>
      </c>
      <c r="L24" s="341">
        <f t="shared" si="20"/>
        <v>1820.9136082215659</v>
      </c>
      <c r="M24" s="341">
        <f t="shared" si="20"/>
        <v>1834.8591737453269</v>
      </c>
      <c r="N24" s="341">
        <f t="shared" si="20"/>
        <v>1650.1894774847046</v>
      </c>
      <c r="O24" s="341">
        <f t="shared" si="20"/>
        <v>1814.8382588521936</v>
      </c>
      <c r="P24" s="341">
        <f t="shared" si="20"/>
        <v>2288.7008215520523</v>
      </c>
      <c r="Q24" s="342">
        <f t="shared" si="20"/>
        <v>2683.3284796753874</v>
      </c>
    </row>
    <row r="25" spans="3:17" ht="14.5" customHeight="1" x14ac:dyDescent="0.35">
      <c r="Q25" s="234"/>
    </row>
    <row r="26" spans="3:17" x14ac:dyDescent="0.35">
      <c r="C26" s="999" t="s">
        <v>287</v>
      </c>
      <c r="D26" s="1028"/>
      <c r="E26" s="985">
        <v>2011</v>
      </c>
      <c r="F26" s="986">
        <v>2012</v>
      </c>
      <c r="G26" s="986">
        <v>2013</v>
      </c>
      <c r="H26" s="986">
        <v>2014</v>
      </c>
      <c r="I26" s="986">
        <v>2015</v>
      </c>
      <c r="J26" s="986">
        <v>2016</v>
      </c>
      <c r="K26" s="987">
        <v>2017</v>
      </c>
      <c r="L26" s="987">
        <v>2018</v>
      </c>
      <c r="M26" s="987">
        <v>2019</v>
      </c>
      <c r="N26" s="987">
        <v>2020</v>
      </c>
      <c r="O26" s="987">
        <v>2021</v>
      </c>
      <c r="P26" s="987">
        <v>2022</v>
      </c>
      <c r="Q26" s="988">
        <v>2023</v>
      </c>
    </row>
    <row r="27" spans="3:17" x14ac:dyDescent="0.35">
      <c r="C27" s="72" t="s">
        <v>265</v>
      </c>
      <c r="D27" s="73" t="s">
        <v>266</v>
      </c>
      <c r="E27" s="717">
        <f>CT_RENO!H62</f>
        <v>926.54927866973242</v>
      </c>
      <c r="F27" s="216">
        <f>CT_RENO!I62</f>
        <v>938.9581967044046</v>
      </c>
      <c r="G27" s="216">
        <f>CT_RENO!J62</f>
        <v>963.87134990398135</v>
      </c>
      <c r="H27" s="216">
        <f>CT_RENO!K62</f>
        <v>1026.9408841494976</v>
      </c>
      <c r="I27" s="216">
        <f>CT_RENO!L62</f>
        <v>1064.6691178674403</v>
      </c>
      <c r="J27" s="216">
        <f>CT_RENO!M62</f>
        <v>1186.0003835908524</v>
      </c>
      <c r="K27" s="216">
        <f>CT_RENO!N62</f>
        <v>1326.5453769849883</v>
      </c>
      <c r="L27" s="216">
        <f>CT_RENO!O62</f>
        <v>1342.0421073462135</v>
      </c>
      <c r="M27" s="216">
        <f>CT_RENO!P62</f>
        <v>1357.8491259294724</v>
      </c>
      <c r="N27" s="216">
        <f>CT_RENO!Q62</f>
        <v>1301.6043685578281</v>
      </c>
      <c r="O27" s="216">
        <f>CT_RENO!R62</f>
        <v>1716.0919348529892</v>
      </c>
      <c r="P27" s="216">
        <f>CT_RENO!S62</f>
        <v>1958.202410443231</v>
      </c>
      <c r="Q27" s="217">
        <f>CT_RENO!T62</f>
        <v>1912.7988499142102</v>
      </c>
    </row>
    <row r="28" spans="3:17" x14ac:dyDescent="0.35">
      <c r="C28" s="74" t="s">
        <v>267</v>
      </c>
      <c r="D28" t="s">
        <v>268</v>
      </c>
      <c r="E28" s="718">
        <f>TER_NEUF!H110/10^6</f>
        <v>16999.976418905397</v>
      </c>
      <c r="F28" s="719">
        <f>TER_NEUF!I110/10^6</f>
        <v>17849.77756792364</v>
      </c>
      <c r="G28" s="719">
        <f>TER_NEUF!J110/10^6</f>
        <v>19093.462246667514</v>
      </c>
      <c r="H28" s="719">
        <f>TER_NEUF!K110/10^6</f>
        <v>17110.080379622825</v>
      </c>
      <c r="I28" s="719">
        <f>TER_NEUF!L110/10^6</f>
        <v>14966.326936069145</v>
      </c>
      <c r="J28" s="719">
        <f>TER_NEUF!M110/10^6</f>
        <v>14291.658476255347</v>
      </c>
      <c r="K28" s="719">
        <f>TER_NEUF!N110/10^6</f>
        <v>15254.974885378384</v>
      </c>
      <c r="L28" s="719">
        <f>TER_NEUF!O110/10^6</f>
        <v>16666.502616995218</v>
      </c>
      <c r="M28" s="719">
        <f>TER_NEUF!P110/10^6</f>
        <v>18818.916280261437</v>
      </c>
      <c r="N28" s="719">
        <f>TER_NEUF!Q110/10^6</f>
        <v>15854.788960544793</v>
      </c>
      <c r="O28" s="719">
        <f>TER_NEUF!R110/10^6</f>
        <v>17507.341260643621</v>
      </c>
      <c r="P28" s="719">
        <f>TER_NEUF!S110/10^6</f>
        <v>19167.516789628149</v>
      </c>
      <c r="Q28" s="1044">
        <f>TER_NEUF!T110/10^6</f>
        <v>21183.749571179054</v>
      </c>
    </row>
    <row r="29" spans="3:17" x14ac:dyDescent="0.35">
      <c r="C29" s="74" t="s">
        <v>270</v>
      </c>
      <c r="D29" t="s">
        <v>268</v>
      </c>
      <c r="E29" s="718">
        <f>DEP_ENER!I79/10^6</f>
        <v>3417.2447050889728</v>
      </c>
      <c r="F29" s="719">
        <f>DEP_ENER!J79/10^6</f>
        <v>3665.2778619621918</v>
      </c>
      <c r="G29" s="719">
        <f>DEP_ENER!K79/10^6</f>
        <v>4028.1304169082641</v>
      </c>
      <c r="H29" s="719">
        <f>DEP_ENER!L79/10^6</f>
        <v>3801.5672908432598</v>
      </c>
      <c r="I29" s="719">
        <f>DEP_ENER!M79/10^6</f>
        <v>3888.4311925540665</v>
      </c>
      <c r="J29" s="719">
        <f>DEP_ENER!N79/10^6</f>
        <v>3733.0357854239342</v>
      </c>
      <c r="K29" s="719">
        <f>DEP_ENER!O79/10^6</f>
        <v>3839.1960035676411</v>
      </c>
      <c r="L29" s="719">
        <f>DEP_ENER!P79/10^6</f>
        <v>3980.1638613893506</v>
      </c>
      <c r="M29" s="719">
        <f>DEP_ENER!Q79/10^6</f>
        <v>4057.1370473797278</v>
      </c>
      <c r="N29" s="719">
        <f>DEP_ENER!R79/10^6</f>
        <v>3893.2836050391888</v>
      </c>
      <c r="O29" s="719">
        <f>DEP_ENER!S79/10^6</f>
        <v>4089.02075661961</v>
      </c>
      <c r="P29" s="719">
        <f>DEP_ENER!T79/10^6</f>
        <v>5157.6267214974605</v>
      </c>
      <c r="Q29" s="1044">
        <f>DEP_ENER!U79/10^6</f>
        <v>6647.9318461487073</v>
      </c>
    </row>
    <row r="30" spans="3:17" x14ac:dyDescent="0.35">
      <c r="C30" s="74" t="s">
        <v>271</v>
      </c>
      <c r="D30" t="s">
        <v>268</v>
      </c>
      <c r="E30" s="718">
        <f>VP!H57</f>
        <v>188.31004396319648</v>
      </c>
      <c r="F30" s="719">
        <f>VP!I57</f>
        <v>187.06404527587557</v>
      </c>
      <c r="G30" s="719">
        <f>VP!J57</f>
        <v>183.74725365605275</v>
      </c>
      <c r="H30" s="719">
        <f>VP!K57</f>
        <v>193.13823449158113</v>
      </c>
      <c r="I30" s="719">
        <f>VP!L57</f>
        <v>220.62747586428739</v>
      </c>
      <c r="J30" s="719">
        <f>VP!M57</f>
        <v>252.72296015177193</v>
      </c>
      <c r="K30" s="719">
        <f>VP!N57</f>
        <v>278.07752731212111</v>
      </c>
      <c r="L30" s="719">
        <f>VP!O57</f>
        <v>271.18002150654712</v>
      </c>
      <c r="M30" s="719">
        <f>VP!P57</f>
        <v>286.03667536954617</v>
      </c>
      <c r="N30" s="719">
        <f>VP!Q57</f>
        <v>212.1007625689038</v>
      </c>
      <c r="O30" s="719">
        <f>VP!R57</f>
        <v>238.81606023358233</v>
      </c>
      <c r="P30" s="719">
        <f>VP!S57</f>
        <v>234.74454175541359</v>
      </c>
      <c r="Q30" s="1044">
        <f>VP!T57</f>
        <v>302.09518099510825</v>
      </c>
    </row>
    <row r="31" spans="3:17" x14ac:dyDescent="0.35">
      <c r="C31" s="74" t="s">
        <v>272</v>
      </c>
      <c r="D31" t="s">
        <v>268</v>
      </c>
      <c r="E31" s="718">
        <f xml:space="preserve">     VUL!H30</f>
        <v>195.08408384435037</v>
      </c>
      <c r="F31" s="719">
        <f xml:space="preserve">     VUL!I30</f>
        <v>181.04185681308431</v>
      </c>
      <c r="G31" s="719">
        <f xml:space="preserve">     VUL!J30</f>
        <v>177.24721847460839</v>
      </c>
      <c r="H31" s="719">
        <f xml:space="preserve">     VUL!K30</f>
        <v>177.39756725170986</v>
      </c>
      <c r="I31" s="719">
        <f xml:space="preserve">     VUL!L30</f>
        <v>182.3647354115154</v>
      </c>
      <c r="J31" s="719">
        <f xml:space="preserve">     VUL!M30</f>
        <v>198.00579393351029</v>
      </c>
      <c r="K31" s="719">
        <f xml:space="preserve">     VUL!N30</f>
        <v>213.83782071851249</v>
      </c>
      <c r="L31" s="719">
        <f xml:space="preserve">     VUL!O30</f>
        <v>227.35529780965297</v>
      </c>
      <c r="M31" s="719">
        <f xml:space="preserve">     VUL!P30</f>
        <v>248.03040838334115</v>
      </c>
      <c r="N31" s="719">
        <f xml:space="preserve">     VUL!Q30</f>
        <v>230.53974385752002</v>
      </c>
      <c r="O31" s="719">
        <f xml:space="preserve">     VUL!R30</f>
        <v>262.80339871644583</v>
      </c>
      <c r="P31" s="719">
        <f xml:space="preserve">     VUL!S30</f>
        <v>243.40617028041379</v>
      </c>
      <c r="Q31" s="1044">
        <f xml:space="preserve">     VUL!T30</f>
        <v>322.46191708426198</v>
      </c>
    </row>
    <row r="32" spans="3:17" x14ac:dyDescent="0.35">
      <c r="C32" s="74" t="s">
        <v>273</v>
      </c>
      <c r="D32" t="s">
        <v>268</v>
      </c>
      <c r="E32" s="718">
        <f>BUSCAR!H84</f>
        <v>893.92406620350357</v>
      </c>
      <c r="F32" s="719">
        <f>BUSCAR!I84</f>
        <v>833.26170597533655</v>
      </c>
      <c r="G32" s="719">
        <f>BUSCAR!J84</f>
        <v>949.63080030072365</v>
      </c>
      <c r="H32" s="719">
        <f>BUSCAR!K84</f>
        <v>739.29379830992366</v>
      </c>
      <c r="I32" s="719">
        <f>BUSCAR!L84</f>
        <v>1075.0798542845882</v>
      </c>
      <c r="J32" s="719">
        <f>BUSCAR!M84</f>
        <v>923.4822001424634</v>
      </c>
      <c r="K32" s="719">
        <f>BUSCAR!N84</f>
        <v>911.94490590925056</v>
      </c>
      <c r="L32" s="719">
        <f>BUSCAR!O84</f>
        <v>844.13671154239887</v>
      </c>
      <c r="M32" s="719">
        <f>BUSCAR!P84</f>
        <v>1080.0186144809552</v>
      </c>
      <c r="N32" s="719">
        <f>BUSCAR!Q84</f>
        <v>1137.18076447564</v>
      </c>
      <c r="O32" s="719">
        <f>BUSCAR!R84</f>
        <v>1600.3577233627066</v>
      </c>
      <c r="P32" s="719">
        <f>BUSCAR!S84</f>
        <v>1337.7955227701977</v>
      </c>
      <c r="Q32" s="1044">
        <f>BUSCAR!T84</f>
        <v>1270.8265252994058</v>
      </c>
    </row>
    <row r="33" spans="3:17" x14ac:dyDescent="0.35">
      <c r="C33" s="74" t="s">
        <v>274</v>
      </c>
      <c r="D33" t="s">
        <v>268</v>
      </c>
      <c r="E33" s="718">
        <f>150</f>
        <v>150</v>
      </c>
      <c r="F33" s="719">
        <f>150</f>
        <v>150</v>
      </c>
      <c r="G33" s="719">
        <f>150</f>
        <v>150</v>
      </c>
      <c r="H33" s="719">
        <f>150</f>
        <v>150</v>
      </c>
      <c r="I33" s="719">
        <f>150</f>
        <v>150</v>
      </c>
      <c r="J33" s="719">
        <f>150</f>
        <v>150</v>
      </c>
      <c r="K33" s="719">
        <f>150</f>
        <v>150</v>
      </c>
      <c r="L33" s="719">
        <f>150</f>
        <v>150</v>
      </c>
      <c r="M33" s="719">
        <f>150</f>
        <v>150</v>
      </c>
      <c r="N33" s="719">
        <f>150</f>
        <v>150</v>
      </c>
      <c r="O33" s="719">
        <f>150</f>
        <v>150</v>
      </c>
      <c r="P33" s="719">
        <f>150</f>
        <v>150</v>
      </c>
      <c r="Q33" s="1044">
        <f>150</f>
        <v>150</v>
      </c>
    </row>
    <row r="34" spans="3:17" x14ac:dyDescent="0.35">
      <c r="C34" s="74" t="s">
        <v>275</v>
      </c>
      <c r="D34" t="s">
        <v>268</v>
      </c>
      <c r="E34" s="718">
        <f>ROUTES!H51/10^6</f>
        <v>7128.1902177549091</v>
      </c>
      <c r="F34" s="719">
        <f>ROUTES!I51/10^6</f>
        <v>7558.4150795642236</v>
      </c>
      <c r="G34" s="719">
        <f>ROUTES!J51/10^6</f>
        <v>8166.1480344414495</v>
      </c>
      <c r="H34" s="719">
        <f>ROUTES!K51/10^6</f>
        <v>7159.068253264677</v>
      </c>
      <c r="I34" s="719">
        <f>ROUTES!L51/10^6</f>
        <v>6471.7447613443401</v>
      </c>
      <c r="J34" s="719">
        <f>ROUTES!M51/10^6</f>
        <v>6518.7255658310914</v>
      </c>
      <c r="K34" s="719">
        <f>ROUTES!N51/10^6</f>
        <v>6927.077902761328</v>
      </c>
      <c r="L34" s="719">
        <f>ROUTES!O51/10^6</f>
        <v>7600.1848858980238</v>
      </c>
      <c r="M34" s="719">
        <f>ROUTES!P51/10^6</f>
        <v>8497.2231688917909</v>
      </c>
      <c r="N34" s="719">
        <f>ROUTES!Q51/10^6</f>
        <v>7220.2244906065534</v>
      </c>
      <c r="O34" s="719">
        <f>ROUTES!R51/10^6</f>
        <v>7577.3608867784897</v>
      </c>
      <c r="P34" s="719">
        <f>ROUTES!S51/10^6</f>
        <v>8414.3918395913824</v>
      </c>
      <c r="Q34" s="1044">
        <f>ROUTES!T51/10^6</f>
        <v>8743.2079696844066</v>
      </c>
    </row>
    <row r="35" spans="3:17" x14ac:dyDescent="0.35">
      <c r="C35" s="74" t="s">
        <v>276</v>
      </c>
      <c r="D35" s="100" t="s">
        <v>268</v>
      </c>
      <c r="E35" s="718">
        <f>MR_FER!H68</f>
        <v>432.39</v>
      </c>
      <c r="F35" s="719">
        <f>MR_FER!I68</f>
        <v>497</v>
      </c>
      <c r="G35" s="719">
        <f>MR_FER!J68</f>
        <v>825</v>
      </c>
      <c r="H35" s="719">
        <f>MR_FER!K68</f>
        <v>900</v>
      </c>
      <c r="I35" s="719">
        <f>MR_FER!L68</f>
        <v>1052.8</v>
      </c>
      <c r="J35" s="719">
        <f>MR_FER!M68</f>
        <v>1030.95533204</v>
      </c>
      <c r="K35" s="719">
        <f>MR_FER!N68</f>
        <v>905.09022488999994</v>
      </c>
      <c r="L35" s="719">
        <f>MR_FER!O68</f>
        <v>1194.5505743100002</v>
      </c>
      <c r="M35" s="719">
        <f>MR_FER!P68</f>
        <v>1335.3830631600001</v>
      </c>
      <c r="N35" s="719">
        <f>MR_FER!Q68</f>
        <v>1730.65923608</v>
      </c>
      <c r="O35" s="719">
        <f>MR_FER!R68</f>
        <v>2293.7650818500001</v>
      </c>
      <c r="P35" s="719">
        <f>MR_FER!S68</f>
        <v>1930.6761367999998</v>
      </c>
      <c r="Q35" s="1044">
        <f>MR_FER!T68</f>
        <v>1943.1744906299998</v>
      </c>
    </row>
    <row r="36" spans="3:17" x14ac:dyDescent="0.35">
      <c r="C36" s="999" t="s">
        <v>277</v>
      </c>
      <c r="D36" s="1298" t="s">
        <v>268</v>
      </c>
      <c r="E36" s="1301">
        <f>SUM(E27:E35)</f>
        <v>30331.668814430061</v>
      </c>
      <c r="F36" s="1018">
        <f t="shared" ref="F36:J36" si="21">SUM(F27:F35)</f>
        <v>31860.796314218755</v>
      </c>
      <c r="G36" s="1018">
        <f t="shared" si="21"/>
        <v>34537.237320352593</v>
      </c>
      <c r="H36" s="1018">
        <f t="shared" si="21"/>
        <v>31257.486407933473</v>
      </c>
      <c r="I36" s="1018">
        <f t="shared" si="21"/>
        <v>29072.044073395384</v>
      </c>
      <c r="J36" s="1018">
        <f t="shared" si="21"/>
        <v>28284.586497368968</v>
      </c>
      <c r="K36" s="1018">
        <f>SUM(K27:K35)</f>
        <v>29806.744647522228</v>
      </c>
      <c r="L36" s="1018">
        <f t="shared" ref="L36:P36" si="22">SUM(L27:L35)</f>
        <v>32276.116076797407</v>
      </c>
      <c r="M36" s="1018">
        <f t="shared" si="22"/>
        <v>35830.594383856267</v>
      </c>
      <c r="N36" s="1018">
        <f t="shared" si="22"/>
        <v>31730.38193173043</v>
      </c>
      <c r="O36" s="1018">
        <f t="shared" si="22"/>
        <v>35435.557103057443</v>
      </c>
      <c r="P36" s="1018">
        <f t="shared" si="22"/>
        <v>38594.360132766247</v>
      </c>
      <c r="Q36" s="1019">
        <f>SUM(Q27:Q35)</f>
        <v>42476.246350935151</v>
      </c>
    </row>
    <row r="37" spans="3:17" x14ac:dyDescent="0.35">
      <c r="C37" s="439" t="s">
        <v>278</v>
      </c>
      <c r="D37" s="29" t="s">
        <v>268</v>
      </c>
      <c r="E37" s="1299">
        <f t="shared" ref="E37:Q37" si="23">E36-E34</f>
        <v>23203.478596675151</v>
      </c>
      <c r="F37" s="1299">
        <f t="shared" si="23"/>
        <v>24302.381234654531</v>
      </c>
      <c r="G37" s="1299">
        <f t="shared" si="23"/>
        <v>26371.089285911145</v>
      </c>
      <c r="H37" s="1299">
        <f t="shared" si="23"/>
        <v>24098.418154668798</v>
      </c>
      <c r="I37" s="1299">
        <f t="shared" si="23"/>
        <v>22600.299312051044</v>
      </c>
      <c r="J37" s="1299">
        <f t="shared" si="23"/>
        <v>21765.860931537878</v>
      </c>
      <c r="K37" s="1299">
        <f t="shared" si="23"/>
        <v>22879.6667447609</v>
      </c>
      <c r="L37" s="1299">
        <f t="shared" si="23"/>
        <v>24675.931190899384</v>
      </c>
      <c r="M37" s="1299">
        <f t="shared" si="23"/>
        <v>27333.371214964478</v>
      </c>
      <c r="N37" s="1299">
        <f t="shared" si="23"/>
        <v>24510.157441123876</v>
      </c>
      <c r="O37" s="1299">
        <f t="shared" si="23"/>
        <v>27858.196216278953</v>
      </c>
      <c r="P37" s="1299">
        <f t="shared" si="23"/>
        <v>30179.968293174865</v>
      </c>
      <c r="Q37" s="1300">
        <f t="shared" si="23"/>
        <v>33733.038381250743</v>
      </c>
    </row>
    <row r="38" spans="3:17" x14ac:dyDescent="0.35">
      <c r="C38" s="437" t="s">
        <v>279</v>
      </c>
      <c r="D38" s="31" t="s">
        <v>268</v>
      </c>
      <c r="E38" s="1020">
        <f t="shared" ref="E38:J38" si="24">E36-E28</f>
        <v>13331.692395524664</v>
      </c>
      <c r="F38" s="1020">
        <f t="shared" si="24"/>
        <v>14011.018746295114</v>
      </c>
      <c r="G38" s="1020">
        <f t="shared" si="24"/>
        <v>15443.775073685079</v>
      </c>
      <c r="H38" s="1020">
        <f t="shared" si="24"/>
        <v>14147.406028310648</v>
      </c>
      <c r="I38" s="1020">
        <f t="shared" si="24"/>
        <v>14105.717137326239</v>
      </c>
      <c r="J38" s="1020">
        <f t="shared" si="24"/>
        <v>13992.928021113621</v>
      </c>
      <c r="K38" s="1020">
        <f>K36-K28</f>
        <v>14551.769762143844</v>
      </c>
      <c r="L38" s="1020">
        <f t="shared" ref="L38:Q38" si="25">L36-L28</f>
        <v>15609.613459802189</v>
      </c>
      <c r="M38" s="1020">
        <f t="shared" si="25"/>
        <v>17011.67810359483</v>
      </c>
      <c r="N38" s="1020">
        <f t="shared" si="25"/>
        <v>15875.592971185637</v>
      </c>
      <c r="O38" s="1020">
        <f t="shared" si="25"/>
        <v>17928.215842413822</v>
      </c>
      <c r="P38" s="1020">
        <f t="shared" si="25"/>
        <v>19426.843343138098</v>
      </c>
      <c r="Q38" s="1021">
        <f t="shared" si="25"/>
        <v>21292.496779756097</v>
      </c>
    </row>
    <row r="39" spans="3:17" x14ac:dyDescent="0.35">
      <c r="C39" s="437" t="s">
        <v>280</v>
      </c>
      <c r="D39" s="31" t="s">
        <v>268</v>
      </c>
      <c r="E39" s="1020">
        <f t="shared" ref="E39:P39" si="26">E36-E34-E28</f>
        <v>6203.5021777697548</v>
      </c>
      <c r="F39" s="1020">
        <f t="shared" si="26"/>
        <v>6452.6036667308908</v>
      </c>
      <c r="G39" s="1020">
        <f t="shared" si="26"/>
        <v>7277.6270392436309</v>
      </c>
      <c r="H39" s="1020">
        <f t="shared" si="26"/>
        <v>6988.3377750459731</v>
      </c>
      <c r="I39" s="1020">
        <f t="shared" si="26"/>
        <v>7633.9723759818989</v>
      </c>
      <c r="J39" s="1020">
        <f t="shared" si="26"/>
        <v>7474.2024552825314</v>
      </c>
      <c r="K39" s="1020">
        <f t="shared" si="26"/>
        <v>7624.6918593825158</v>
      </c>
      <c r="L39" s="1020">
        <f t="shared" si="26"/>
        <v>8009.4285739041661</v>
      </c>
      <c r="M39" s="1020">
        <f t="shared" si="26"/>
        <v>8514.4549347030406</v>
      </c>
      <c r="N39" s="1020">
        <f t="shared" si="26"/>
        <v>8655.3684805790836</v>
      </c>
      <c r="O39" s="1020">
        <f t="shared" si="26"/>
        <v>10350.854955635332</v>
      </c>
      <c r="P39" s="1020">
        <f t="shared" si="26"/>
        <v>11012.451503546716</v>
      </c>
      <c r="Q39" s="1021">
        <f>Q36-Q34-Q28</f>
        <v>12549.288810071688</v>
      </c>
    </row>
    <row r="40" spans="3:17" x14ac:dyDescent="0.35">
      <c r="C40" s="439" t="s">
        <v>281</v>
      </c>
      <c r="D40" s="29" t="s">
        <v>268</v>
      </c>
      <c r="E40" s="1022">
        <f t="shared" ref="E40:Q40" si="27">E36-E29</f>
        <v>26914.424109341089</v>
      </c>
      <c r="F40" s="1022">
        <f t="shared" si="27"/>
        <v>28195.518452256561</v>
      </c>
      <c r="G40" s="1022">
        <f t="shared" si="27"/>
        <v>30509.106903444328</v>
      </c>
      <c r="H40" s="1022">
        <f t="shared" si="27"/>
        <v>27455.919117090212</v>
      </c>
      <c r="I40" s="1022">
        <f t="shared" si="27"/>
        <v>25183.612880841316</v>
      </c>
      <c r="J40" s="1022">
        <f t="shared" si="27"/>
        <v>24551.550711945034</v>
      </c>
      <c r="K40" s="1022">
        <f t="shared" si="27"/>
        <v>25967.548643954586</v>
      </c>
      <c r="L40" s="1022">
        <f t="shared" si="27"/>
        <v>28295.952215408055</v>
      </c>
      <c r="M40" s="1022">
        <f t="shared" si="27"/>
        <v>31773.457336476538</v>
      </c>
      <c r="N40" s="1022">
        <f t="shared" si="27"/>
        <v>27837.098326691241</v>
      </c>
      <c r="O40" s="1022">
        <f t="shared" si="27"/>
        <v>31346.536346437832</v>
      </c>
      <c r="P40" s="1022">
        <f t="shared" si="27"/>
        <v>33436.733411268789</v>
      </c>
      <c r="Q40" s="1023">
        <f t="shared" si="27"/>
        <v>35828.314504786445</v>
      </c>
    </row>
    <row r="41" spans="3:17" x14ac:dyDescent="0.35">
      <c r="C41" s="437" t="s">
        <v>282</v>
      </c>
      <c r="D41" s="31" t="s">
        <v>268</v>
      </c>
      <c r="E41" s="1020">
        <f t="shared" ref="E41:Q41" si="28">E36-E34-E29</f>
        <v>19786.23389158618</v>
      </c>
      <c r="F41" s="1020">
        <f t="shared" si="28"/>
        <v>20637.103372692338</v>
      </c>
      <c r="G41" s="1020">
        <f t="shared" si="28"/>
        <v>22342.95886900288</v>
      </c>
      <c r="H41" s="1020">
        <f t="shared" si="28"/>
        <v>20296.850863825537</v>
      </c>
      <c r="I41" s="1020">
        <f t="shared" si="28"/>
        <v>18711.868119496976</v>
      </c>
      <c r="J41" s="1020">
        <f t="shared" si="28"/>
        <v>18032.825146113944</v>
      </c>
      <c r="K41" s="1020">
        <f t="shared" si="28"/>
        <v>19040.470741193258</v>
      </c>
      <c r="L41" s="1020">
        <f t="shared" si="28"/>
        <v>20695.767329510032</v>
      </c>
      <c r="M41" s="1020">
        <f t="shared" si="28"/>
        <v>23276.234167584749</v>
      </c>
      <c r="N41" s="1020">
        <f t="shared" si="28"/>
        <v>20616.873836084687</v>
      </c>
      <c r="O41" s="1020">
        <f t="shared" si="28"/>
        <v>23769.175459659342</v>
      </c>
      <c r="P41" s="1020">
        <f t="shared" si="28"/>
        <v>25022.341571677403</v>
      </c>
      <c r="Q41" s="1021">
        <f t="shared" si="28"/>
        <v>27085.106535102037</v>
      </c>
    </row>
    <row r="42" spans="3:17" x14ac:dyDescent="0.35">
      <c r="C42" s="437" t="s">
        <v>283</v>
      </c>
      <c r="D42" s="31" t="s">
        <v>268</v>
      </c>
      <c r="E42" s="1020">
        <f t="shared" ref="E42:J42" si="29">E36-E28-E29-E34</f>
        <v>2786.2574726807816</v>
      </c>
      <c r="F42" s="1020">
        <f t="shared" si="29"/>
        <v>2787.3258047686995</v>
      </c>
      <c r="G42" s="1020">
        <f t="shared" si="29"/>
        <v>3249.4966223353649</v>
      </c>
      <c r="H42" s="1020">
        <f t="shared" si="29"/>
        <v>3186.7704842027106</v>
      </c>
      <c r="I42" s="1020">
        <f t="shared" si="29"/>
        <v>3745.5411834278329</v>
      </c>
      <c r="J42" s="1020">
        <f t="shared" si="29"/>
        <v>3741.1666698585959</v>
      </c>
      <c r="K42" s="1020">
        <f>K36-K28-K29-K34</f>
        <v>3785.4958558148755</v>
      </c>
      <c r="L42" s="1020">
        <f t="shared" ref="L42:Q42" si="30">L36-L28-L29-L34</f>
        <v>4029.2647125148151</v>
      </c>
      <c r="M42" s="1020">
        <f t="shared" si="30"/>
        <v>4457.3178873233101</v>
      </c>
      <c r="N42" s="1020">
        <f t="shared" si="30"/>
        <v>4762.0848755398947</v>
      </c>
      <c r="O42" s="1020">
        <f t="shared" si="30"/>
        <v>6261.8341990157223</v>
      </c>
      <c r="P42" s="1020">
        <f t="shared" si="30"/>
        <v>5854.8247820492543</v>
      </c>
      <c r="Q42" s="1021">
        <f t="shared" si="30"/>
        <v>5901.3569639229827</v>
      </c>
    </row>
    <row r="43" spans="3:17" x14ac:dyDescent="0.35">
      <c r="C43" s="438" t="s">
        <v>284</v>
      </c>
      <c r="D43" s="33"/>
      <c r="E43" s="1024">
        <f>E36-E35</f>
        <v>29899.278814430061</v>
      </c>
      <c r="F43" s="1024">
        <f t="shared" ref="F43:Q43" si="31">F36-F35</f>
        <v>31363.796314218755</v>
      </c>
      <c r="G43" s="1024">
        <f t="shared" si="31"/>
        <v>33712.237320352593</v>
      </c>
      <c r="H43" s="1024">
        <f t="shared" si="31"/>
        <v>30357.486407933473</v>
      </c>
      <c r="I43" s="1024">
        <f t="shared" si="31"/>
        <v>28019.244073395384</v>
      </c>
      <c r="J43" s="1024">
        <f t="shared" si="31"/>
        <v>27253.631165328967</v>
      </c>
      <c r="K43" s="1024">
        <f t="shared" si="31"/>
        <v>28901.654422632229</v>
      </c>
      <c r="L43" s="1024">
        <f t="shared" si="31"/>
        <v>31081.565502487407</v>
      </c>
      <c r="M43" s="1024">
        <f t="shared" si="31"/>
        <v>34495.211320696268</v>
      </c>
      <c r="N43" s="1024">
        <f t="shared" si="31"/>
        <v>29999.722695650431</v>
      </c>
      <c r="O43" s="1024">
        <f t="shared" si="31"/>
        <v>33141.792021207446</v>
      </c>
      <c r="P43" s="1024">
        <f t="shared" si="31"/>
        <v>36663.683995966247</v>
      </c>
      <c r="Q43" s="1025">
        <f t="shared" si="31"/>
        <v>40533.07186030515</v>
      </c>
    </row>
    <row r="45" spans="3:17" x14ac:dyDescent="0.35">
      <c r="C45" s="15" t="s">
        <v>288</v>
      </c>
      <c r="E45" s="985">
        <v>2011</v>
      </c>
      <c r="F45" s="986">
        <v>2012</v>
      </c>
      <c r="G45" s="986">
        <v>2013</v>
      </c>
      <c r="H45" s="986">
        <v>2014</v>
      </c>
      <c r="I45" s="986">
        <v>2015</v>
      </c>
      <c r="J45" s="986">
        <v>2016</v>
      </c>
      <c r="K45" s="987">
        <v>2017</v>
      </c>
      <c r="L45" s="987">
        <v>2018</v>
      </c>
      <c r="M45" s="987">
        <v>2019</v>
      </c>
      <c r="N45" s="987">
        <v>2020</v>
      </c>
      <c r="O45" s="987">
        <v>2021</v>
      </c>
      <c r="P45" s="987">
        <v>2022</v>
      </c>
      <c r="Q45" s="988">
        <v>2023</v>
      </c>
    </row>
    <row r="46" spans="3:17" x14ac:dyDescent="0.35">
      <c r="C46" s="72" t="s">
        <v>289</v>
      </c>
      <c r="D46" s="73" t="s">
        <v>290</v>
      </c>
      <c r="E46" s="72"/>
      <c r="F46" s="395">
        <f>F14/E14-1</f>
        <v>5.6854566279509466E-2</v>
      </c>
      <c r="G46" s="395">
        <f t="shared" ref="G46:Q46" si="32">G14/F14-1</f>
        <v>7.4082667082555842E-2</v>
      </c>
      <c r="H46" s="395">
        <f t="shared" si="32"/>
        <v>-9.6781141011076821E-2</v>
      </c>
      <c r="I46" s="395">
        <f t="shared" si="32"/>
        <v>-5.1617763980750242E-2</v>
      </c>
      <c r="J46" s="395">
        <f t="shared" si="32"/>
        <v>-4.0817143874177453E-2</v>
      </c>
      <c r="K46" s="395">
        <f t="shared" si="32"/>
        <v>3.656115541493854E-2</v>
      </c>
      <c r="L46" s="395">
        <f t="shared" si="32"/>
        <v>7.6041130088940534E-2</v>
      </c>
      <c r="M46" s="395">
        <f t="shared" si="32"/>
        <v>5.4931508151701891E-2</v>
      </c>
      <c r="N46" s="395">
        <f t="shared" si="32"/>
        <v>-0.13745173999723304</v>
      </c>
      <c r="O46" s="395">
        <f t="shared" si="32"/>
        <v>7.0173443321462248E-2</v>
      </c>
      <c r="P46" s="395">
        <f t="shared" si="32"/>
        <v>8.7809929696310629E-2</v>
      </c>
      <c r="Q46" s="351">
        <f t="shared" si="32"/>
        <v>8.3508830838022963E-2</v>
      </c>
    </row>
    <row r="47" spans="3:17" x14ac:dyDescent="0.35">
      <c r="C47" s="99" t="s">
        <v>291</v>
      </c>
      <c r="D47" s="100" t="s">
        <v>268</v>
      </c>
      <c r="E47" s="74"/>
      <c r="F47" s="139">
        <f>F36/E36-1</f>
        <v>5.041356310277334E-2</v>
      </c>
      <c r="G47" s="139">
        <f t="shared" ref="G47:Q47" si="33">G36/F36-1</f>
        <v>8.4004209428356402E-2</v>
      </c>
      <c r="H47" s="139">
        <f t="shared" si="33"/>
        <v>-9.4962746498730044E-2</v>
      </c>
      <c r="I47" s="139">
        <f t="shared" si="33"/>
        <v>-6.9917404938338312E-2</v>
      </c>
      <c r="J47" s="139">
        <f t="shared" si="33"/>
        <v>-2.7086419311913468E-2</v>
      </c>
      <c r="K47" s="139">
        <f t="shared" si="33"/>
        <v>5.3815817682003386E-2</v>
      </c>
      <c r="L47" s="139">
        <f t="shared" si="33"/>
        <v>8.2846062476012561E-2</v>
      </c>
      <c r="M47" s="139">
        <f t="shared" si="33"/>
        <v>0.11012720051574276</v>
      </c>
      <c r="N47" s="139">
        <f t="shared" si="33"/>
        <v>-0.11443328034695455</v>
      </c>
      <c r="O47" s="139">
        <f t="shared" si="33"/>
        <v>0.11677058219150616</v>
      </c>
      <c r="P47" s="139">
        <f t="shared" si="33"/>
        <v>8.9142186209237195E-2</v>
      </c>
      <c r="Q47" s="140">
        <f t="shared" si="33"/>
        <v>0.10058169651770488</v>
      </c>
    </row>
    <row r="48" spans="3:17" x14ac:dyDescent="0.35">
      <c r="C48" s="99" t="s">
        <v>292</v>
      </c>
      <c r="D48" s="100" t="s">
        <v>290</v>
      </c>
      <c r="E48" s="1043">
        <f t="shared" ref="E48:Q49" si="34">E14/E36</f>
        <v>0.22099915640722473</v>
      </c>
      <c r="F48" s="1036">
        <f t="shared" si="34"/>
        <v>0.22235429529582612</v>
      </c>
      <c r="G48" s="1036">
        <f t="shared" si="34"/>
        <v>0.22031915785137696</v>
      </c>
      <c r="H48" s="1036">
        <f t="shared" si="34"/>
        <v>0.21987649414217389</v>
      </c>
      <c r="I48" s="1036">
        <f t="shared" si="34"/>
        <v>0.22420262702454249</v>
      </c>
      <c r="J48" s="1036">
        <f t="shared" si="34"/>
        <v>0.22103845645593684</v>
      </c>
      <c r="K48" s="1036">
        <f t="shared" si="34"/>
        <v>0.21741928140638245</v>
      </c>
      <c r="L48" s="1036">
        <f t="shared" si="34"/>
        <v>0.21605295283865125</v>
      </c>
      <c r="M48" s="1036">
        <f t="shared" si="34"/>
        <v>0.20531076733622894</v>
      </c>
      <c r="N48" s="1036">
        <f t="shared" si="34"/>
        <v>0.19997414220249735</v>
      </c>
      <c r="O48" s="1036">
        <f t="shared" si="34"/>
        <v>0.19163024147371741</v>
      </c>
      <c r="P48" s="1036">
        <f t="shared" si="34"/>
        <v>0.19139583623213402</v>
      </c>
      <c r="Q48" s="592">
        <f t="shared" si="34"/>
        <v>0.18842679230383619</v>
      </c>
    </row>
    <row r="49" spans="3:17" x14ac:dyDescent="0.35">
      <c r="C49" s="439" t="s">
        <v>278</v>
      </c>
      <c r="D49" s="73" t="s">
        <v>268</v>
      </c>
      <c r="E49" s="138">
        <f>E15/E37</f>
        <v>0.2363174891523786</v>
      </c>
      <c r="F49" s="139">
        <f t="shared" si="34"/>
        <v>0.23828417262702678</v>
      </c>
      <c r="G49" s="139">
        <f t="shared" si="34"/>
        <v>0.23554955456098087</v>
      </c>
      <c r="H49" s="139">
        <f t="shared" si="34"/>
        <v>0.23435632779593943</v>
      </c>
      <c r="I49" s="139">
        <f t="shared" si="34"/>
        <v>0.23939878813123705</v>
      </c>
      <c r="J49" s="139">
        <f t="shared" si="34"/>
        <v>0.23598408960202677</v>
      </c>
      <c r="K49" s="139">
        <f t="shared" si="34"/>
        <v>0.23143226129725572</v>
      </c>
      <c r="L49" s="139">
        <f t="shared" si="34"/>
        <v>0.22988756708162461</v>
      </c>
      <c r="M49" s="139">
        <f t="shared" si="34"/>
        <v>0.21593499795745594</v>
      </c>
      <c r="N49" s="139">
        <f t="shared" si="34"/>
        <v>0.20846949609817653</v>
      </c>
      <c r="O49" s="139">
        <f t="shared" si="34"/>
        <v>0.19720479809701039</v>
      </c>
      <c r="P49" s="139">
        <f t="shared" si="34"/>
        <v>0.19704460169362692</v>
      </c>
      <c r="Q49" s="140">
        <f t="shared" si="34"/>
        <v>0.1929085280655112</v>
      </c>
    </row>
    <row r="50" spans="3:17" x14ac:dyDescent="0.35">
      <c r="C50" s="437" t="s">
        <v>279</v>
      </c>
      <c r="D50" t="s">
        <v>268</v>
      </c>
      <c r="E50" s="138">
        <f t="shared" ref="E50:Q55" si="35">E16/E38</f>
        <v>0.32836614560471411</v>
      </c>
      <c r="F50" s="139">
        <f>F16/F38</f>
        <v>0.33134887796418239</v>
      </c>
      <c r="G50" s="139">
        <f t="shared" ref="G50:Q50" si="36">G16/G38</f>
        <v>0.32357564013632784</v>
      </c>
      <c r="H50" s="139">
        <f t="shared" si="36"/>
        <v>0.32035042481083342</v>
      </c>
      <c r="I50" s="139">
        <f t="shared" si="36"/>
        <v>0.31693781222538275</v>
      </c>
      <c r="J50" s="139">
        <f t="shared" si="36"/>
        <v>0.3070752922360257</v>
      </c>
      <c r="K50" s="139">
        <f t="shared" si="36"/>
        <v>0.30193443889128407</v>
      </c>
      <c r="L50" s="139">
        <f t="shared" si="36"/>
        <v>0.30067193134772691</v>
      </c>
      <c r="M50" s="139">
        <f t="shared" si="36"/>
        <v>0.28109978632339838</v>
      </c>
      <c r="N50" s="139">
        <f t="shared" si="36"/>
        <v>0.26306549848770688</v>
      </c>
      <c r="O50" s="139">
        <f t="shared" si="36"/>
        <v>0.24517331331764847</v>
      </c>
      <c r="P50" s="139">
        <f t="shared" si="36"/>
        <v>0.24526287933014959</v>
      </c>
      <c r="Q50" s="140">
        <f t="shared" si="36"/>
        <v>0.23978991099490155</v>
      </c>
    </row>
    <row r="51" spans="3:17" x14ac:dyDescent="0.35">
      <c r="C51" s="437" t="s">
        <v>280</v>
      </c>
      <c r="D51" t="s">
        <v>268</v>
      </c>
      <c r="E51" s="138">
        <f t="shared" ref="E51" si="37">E17/E39</f>
        <v>0.5090335969860561</v>
      </c>
      <c r="F51" s="139">
        <f t="shared" si="35"/>
        <v>0.51901889640945698</v>
      </c>
      <c r="G51" s="139">
        <f t="shared" si="35"/>
        <v>0.49462725691068526</v>
      </c>
      <c r="H51" s="139">
        <f t="shared" si="35"/>
        <v>0.47321092582205943</v>
      </c>
      <c r="I51" s="139">
        <f t="shared" si="35"/>
        <v>0.44054269208976832</v>
      </c>
      <c r="J51" s="139">
        <f t="shared" si="35"/>
        <v>0.42563711858421976</v>
      </c>
      <c r="K51" s="139">
        <f t="shared" si="35"/>
        <v>0.42076617748165507</v>
      </c>
      <c r="L51" s="139">
        <f t="shared" si="35"/>
        <v>0.42358979765403215</v>
      </c>
      <c r="M51" s="139">
        <f t="shared" si="35"/>
        <v>0.39084166113447621</v>
      </c>
      <c r="N51" s="139">
        <f t="shared" si="35"/>
        <v>0.33975272662669975</v>
      </c>
      <c r="O51" s="139">
        <f t="shared" si="35"/>
        <v>0.29937292030501084</v>
      </c>
      <c r="P51" s="139">
        <f t="shared" si="35"/>
        <v>0.30190221800868211</v>
      </c>
      <c r="Q51" s="140">
        <f t="shared" si="35"/>
        <v>0.28762218278619417</v>
      </c>
    </row>
    <row r="52" spans="3:17" x14ac:dyDescent="0.35">
      <c r="C52" s="439" t="s">
        <v>281</v>
      </c>
      <c r="D52" s="73" t="s">
        <v>268</v>
      </c>
      <c r="E52" s="432">
        <f t="shared" ref="E52" si="38">E18/E40</f>
        <v>0.18774316418465448</v>
      </c>
      <c r="F52" s="395">
        <f t="shared" si="35"/>
        <v>0.18744251655689731</v>
      </c>
      <c r="G52" s="395">
        <f t="shared" si="35"/>
        <v>0.18721393597016561</v>
      </c>
      <c r="H52" s="395">
        <f t="shared" si="35"/>
        <v>0.18576804977087508</v>
      </c>
      <c r="I52" s="395">
        <f t="shared" si="35"/>
        <v>0.19072223166535235</v>
      </c>
      <c r="J52" s="395">
        <f t="shared" si="35"/>
        <v>0.18855979446036611</v>
      </c>
      <c r="K52" s="395">
        <f t="shared" si="35"/>
        <v>0.18423014841214935</v>
      </c>
      <c r="L52" s="395">
        <f t="shared" si="35"/>
        <v>0.18209094138658849</v>
      </c>
      <c r="M52" s="395">
        <f t="shared" si="35"/>
        <v>0.17377862266749725</v>
      </c>
      <c r="N52" s="395">
        <f t="shared" si="35"/>
        <v>0.16866220667004309</v>
      </c>
      <c r="O52" s="395">
        <f t="shared" si="35"/>
        <v>0.15873160755535387</v>
      </c>
      <c r="P52" s="395">
        <f t="shared" si="35"/>
        <v>0.15247000797586066</v>
      </c>
      <c r="Q52" s="351">
        <f t="shared" si="35"/>
        <v>0.14849524580979342</v>
      </c>
    </row>
    <row r="53" spans="3:17" x14ac:dyDescent="0.35">
      <c r="C53" s="437" t="s">
        <v>282</v>
      </c>
      <c r="D53" t="s">
        <v>268</v>
      </c>
      <c r="E53" s="138">
        <f t="shared" ref="E53" si="39">E19/E41</f>
        <v>0.19372629206007136</v>
      </c>
      <c r="F53" s="139">
        <f t="shared" si="35"/>
        <v>0.19341507165939711</v>
      </c>
      <c r="G53" s="139">
        <f t="shared" si="35"/>
        <v>0.19309050807789874</v>
      </c>
      <c r="H53" s="139">
        <f t="shared" si="35"/>
        <v>0.19092926446543551</v>
      </c>
      <c r="I53" s="139">
        <f t="shared" si="35"/>
        <v>0.19749660690797119</v>
      </c>
      <c r="J53" s="139">
        <f t="shared" si="35"/>
        <v>0.19485859053789256</v>
      </c>
      <c r="K53" s="139">
        <f t="shared" si="35"/>
        <v>0.18899413778305357</v>
      </c>
      <c r="L53" s="139">
        <f t="shared" si="35"/>
        <v>0.18611419994249903</v>
      </c>
      <c r="M53" s="139">
        <f t="shared" si="35"/>
        <v>0.17474357125143417</v>
      </c>
      <c r="N53" s="139">
        <f t="shared" si="35"/>
        <v>0.16779608397750839</v>
      </c>
      <c r="O53" s="139">
        <f t="shared" si="35"/>
        <v>0.15477742202584263</v>
      </c>
      <c r="P53" s="139">
        <f t="shared" si="35"/>
        <v>0.14619331286099349</v>
      </c>
      <c r="Q53" s="140">
        <f t="shared" si="35"/>
        <v>0.14118690272357393</v>
      </c>
    </row>
    <row r="54" spans="3:17" x14ac:dyDescent="0.35">
      <c r="C54" s="437" t="s">
        <v>293</v>
      </c>
      <c r="D54" t="s">
        <v>268</v>
      </c>
      <c r="E54" s="138">
        <f t="shared" ref="E54" si="40">E20/E42</f>
        <v>0.54105443101552264</v>
      </c>
      <c r="F54" s="139">
        <f t="shared" si="35"/>
        <v>0.55597277280196444</v>
      </c>
      <c r="G54" s="139">
        <f t="shared" si="35"/>
        <v>0.52384348792210078</v>
      </c>
      <c r="H54" s="139">
        <f t="shared" si="35"/>
        <v>0.48155454497576855</v>
      </c>
      <c r="I54" s="139">
        <f t="shared" si="35"/>
        <v>0.4400263825553497</v>
      </c>
      <c r="J54" s="139">
        <f t="shared" si="35"/>
        <v>0.41664864182466749</v>
      </c>
      <c r="K54" s="139">
        <f t="shared" si="35"/>
        <v>0.39932860686492894</v>
      </c>
      <c r="L54" s="139">
        <f t="shared" si="35"/>
        <v>0.39009564594774537</v>
      </c>
      <c r="M54" s="139">
        <f>M20/M42</f>
        <v>0.33494235195443622</v>
      </c>
      <c r="N54" s="139">
        <f t="shared" ref="N54:Q54" si="41">N20/N42</f>
        <v>0.27099381835451358</v>
      </c>
      <c r="O54" s="139">
        <f t="shared" si="41"/>
        <v>0.20504014895056888</v>
      </c>
      <c r="P54" s="139">
        <f t="shared" si="41"/>
        <v>0.17694512673684856</v>
      </c>
      <c r="Q54" s="140">
        <f t="shared" si="41"/>
        <v>0.15693430611866302</v>
      </c>
    </row>
    <row r="55" spans="3:17" x14ac:dyDescent="0.35">
      <c r="C55" s="438" t="s">
        <v>294</v>
      </c>
      <c r="D55" s="100"/>
      <c r="E55" s="141">
        <f t="shared" ref="E55" si="42">E21/E43</f>
        <v>0.22419514738185659</v>
      </c>
      <c r="F55" s="142">
        <f t="shared" si="35"/>
        <v>0.22279264063564583</v>
      </c>
      <c r="G55" s="142">
        <f t="shared" si="35"/>
        <v>0.22094630184433167</v>
      </c>
      <c r="H55" s="142">
        <f t="shared" si="35"/>
        <v>0.22303509492631918</v>
      </c>
      <c r="I55" s="142">
        <f t="shared" si="35"/>
        <v>0.23136508524034075</v>
      </c>
      <c r="J55" s="142">
        <f t="shared" si="35"/>
        <v>0.22763320985820046</v>
      </c>
      <c r="K55" s="142">
        <f t="shared" si="35"/>
        <v>0.22320092104263653</v>
      </c>
      <c r="L55" s="142">
        <f t="shared" si="35"/>
        <v>0.22151573654728299</v>
      </c>
      <c r="M55" s="142">
        <f t="shared" si="35"/>
        <v>0.21117366126293899</v>
      </c>
      <c r="N55" s="142">
        <f t="shared" si="35"/>
        <v>0.20806932057700089</v>
      </c>
      <c r="O55" s="142">
        <f t="shared" si="35"/>
        <v>0.20257847214970104</v>
      </c>
      <c r="P55" s="142">
        <f t="shared" si="35"/>
        <v>0.19909949522455023</v>
      </c>
      <c r="Q55" s="143">
        <f t="shared" si="35"/>
        <v>0.19746006117173628</v>
      </c>
    </row>
    <row r="56" spans="3:17" x14ac:dyDescent="0.35">
      <c r="C56" s="99" t="s">
        <v>295</v>
      </c>
      <c r="D56" s="33" t="s">
        <v>296</v>
      </c>
      <c r="E56" s="1052">
        <f>E36-E14</f>
        <v>23628.395594017689</v>
      </c>
      <c r="F56" s="1052">
        <f t="shared" ref="F56:Q56" si="43">F36-F14</f>
        <v>24776.411402206788</v>
      </c>
      <c r="G56" s="1052">
        <f t="shared" si="43"/>
        <v>26928.022279419361</v>
      </c>
      <c r="H56" s="1052">
        <f t="shared" si="43"/>
        <v>24384.699880860408</v>
      </c>
      <c r="I56" s="1052">
        <f t="shared" si="43"/>
        <v>22554.015419166855</v>
      </c>
      <c r="J56" s="1052">
        <f t="shared" si="43"/>
        <v>22032.605156496098</v>
      </c>
      <c r="K56" s="1052">
        <f t="shared" si="43"/>
        <v>23326.183645194411</v>
      </c>
      <c r="L56" s="1052">
        <f t="shared" si="43"/>
        <v>25302.765892242263</v>
      </c>
      <c r="M56" s="1052">
        <f t="shared" si="43"/>
        <v>28474.18755679356</v>
      </c>
      <c r="N56" s="1052">
        <f t="shared" si="43"/>
        <v>25385.126023175017</v>
      </c>
      <c r="O56" s="1052">
        <f t="shared" si="43"/>
        <v>28645.032738642843</v>
      </c>
      <c r="P56" s="1052">
        <f t="shared" si="43"/>
        <v>31207.560301311318</v>
      </c>
      <c r="Q56" s="1053">
        <f t="shared" si="43"/>
        <v>34472.583501920912</v>
      </c>
    </row>
    <row r="58" spans="3:17" x14ac:dyDescent="0.35">
      <c r="C58" s="542" t="s">
        <v>297</v>
      </c>
      <c r="D58" s="100"/>
      <c r="E58" s="1239">
        <v>2011</v>
      </c>
      <c r="F58" s="1240">
        <v>2012</v>
      </c>
      <c r="G58" s="1240">
        <v>2013</v>
      </c>
      <c r="H58" s="1240">
        <v>2014</v>
      </c>
      <c r="I58" s="1240">
        <v>2015</v>
      </c>
      <c r="J58" s="1240">
        <v>2016</v>
      </c>
      <c r="K58" s="1241">
        <v>2017</v>
      </c>
      <c r="L58" s="1241">
        <v>2018</v>
      </c>
      <c r="M58" s="1241">
        <v>2019</v>
      </c>
      <c r="N58" s="1241">
        <v>2020</v>
      </c>
      <c r="O58" s="1241">
        <v>2021</v>
      </c>
      <c r="P58" s="1241">
        <v>2022</v>
      </c>
      <c r="Q58" s="1242">
        <v>2023</v>
      </c>
    </row>
    <row r="59" spans="3:17" x14ac:dyDescent="0.35">
      <c r="C59" s="72" t="s">
        <v>265</v>
      </c>
      <c r="D59" s="29" t="s">
        <v>298</v>
      </c>
      <c r="E59" s="432">
        <f>E5/E27</f>
        <v>0.32259529976692741</v>
      </c>
      <c r="F59" s="395">
        <f t="shared" ref="F59:Q59" si="44">F5/F27</f>
        <v>0.33012030339617376</v>
      </c>
      <c r="G59" s="395">
        <f t="shared" si="44"/>
        <v>0.33019431550368544</v>
      </c>
      <c r="H59" s="395">
        <f t="shared" si="44"/>
        <v>0.31517693625568616</v>
      </c>
      <c r="I59" s="395">
        <f t="shared" si="44"/>
        <v>0.29650591397634612</v>
      </c>
      <c r="J59" s="395">
        <f t="shared" si="44"/>
        <v>0.2981982248186375</v>
      </c>
      <c r="K59" s="395">
        <f t="shared" si="44"/>
        <v>0.28567297085614229</v>
      </c>
      <c r="L59" s="395">
        <f t="shared" si="44"/>
        <v>0.30736580420728471</v>
      </c>
      <c r="M59" s="395">
        <f t="shared" si="44"/>
        <v>0.28294456947294289</v>
      </c>
      <c r="N59" s="395">
        <f t="shared" si="44"/>
        <v>0.29342968185513657</v>
      </c>
      <c r="O59" s="395">
        <f t="shared" si="44"/>
        <v>0.29482980850408402</v>
      </c>
      <c r="P59" s="395">
        <f t="shared" si="44"/>
        <v>0.21180661051163674</v>
      </c>
      <c r="Q59" s="351">
        <f t="shared" si="44"/>
        <v>0.17538828918585336</v>
      </c>
    </row>
    <row r="60" spans="3:17" x14ac:dyDescent="0.35">
      <c r="C60" s="74" t="s">
        <v>267</v>
      </c>
      <c r="D60" s="31" t="s">
        <v>268</v>
      </c>
      <c r="E60" s="138">
        <f t="shared" ref="E60:Q67" si="45">E6/E28</f>
        <v>0.1368</v>
      </c>
      <c r="F60" s="139">
        <f t="shared" si="45"/>
        <v>0.1368</v>
      </c>
      <c r="G60" s="139">
        <f t="shared" si="45"/>
        <v>0.13680000000000003</v>
      </c>
      <c r="H60" s="139">
        <f t="shared" si="45"/>
        <v>0.13680000000000003</v>
      </c>
      <c r="I60" s="139">
        <f t="shared" si="45"/>
        <v>0.1368</v>
      </c>
      <c r="J60" s="139">
        <f t="shared" si="45"/>
        <v>0.1368</v>
      </c>
      <c r="K60" s="139">
        <f t="shared" si="45"/>
        <v>0.1368</v>
      </c>
      <c r="L60" s="139">
        <f t="shared" si="45"/>
        <v>0.1368</v>
      </c>
      <c r="M60" s="139">
        <f t="shared" si="45"/>
        <v>0.1368</v>
      </c>
      <c r="N60" s="139">
        <f t="shared" si="45"/>
        <v>0.1368</v>
      </c>
      <c r="O60" s="139">
        <f t="shared" si="45"/>
        <v>0.13679999999999998</v>
      </c>
      <c r="P60" s="139">
        <f t="shared" si="45"/>
        <v>0.1368</v>
      </c>
      <c r="Q60" s="140">
        <f t="shared" si="45"/>
        <v>0.1368</v>
      </c>
    </row>
    <row r="61" spans="3:17" x14ac:dyDescent="0.35">
      <c r="C61" s="74" t="s">
        <v>270</v>
      </c>
      <c r="D61" s="31" t="s">
        <v>268</v>
      </c>
      <c r="E61" s="138">
        <f>E7/E29</f>
        <v>0.48292534434520551</v>
      </c>
      <c r="F61" s="139">
        <f t="shared" si="45"/>
        <v>0.4909166631997961</v>
      </c>
      <c r="G61" s="139">
        <f t="shared" si="45"/>
        <v>0.4710584956832789</v>
      </c>
      <c r="H61" s="139">
        <f t="shared" si="45"/>
        <v>0.46621665287718417</v>
      </c>
      <c r="I61" s="139">
        <f t="shared" si="45"/>
        <v>0.44104002855498958</v>
      </c>
      <c r="J61" s="139">
        <f t="shared" si="45"/>
        <v>0.43464517304674005</v>
      </c>
      <c r="K61" s="139">
        <f t="shared" si="45"/>
        <v>0.44190389346514303</v>
      </c>
      <c r="L61" s="139">
        <f t="shared" si="45"/>
        <v>0.45749714625717497</v>
      </c>
      <c r="M61" s="139">
        <f t="shared" si="45"/>
        <v>0.4522546693191834</v>
      </c>
      <c r="N61" s="139">
        <f t="shared" si="45"/>
        <v>0.42385545079449566</v>
      </c>
      <c r="O61" s="139">
        <f t="shared" si="45"/>
        <v>0.44383199960875691</v>
      </c>
      <c r="P61" s="139">
        <f t="shared" si="45"/>
        <v>0.44375076854874695</v>
      </c>
      <c r="Q61" s="140">
        <f t="shared" si="45"/>
        <v>0.40363357233120528</v>
      </c>
    </row>
    <row r="62" spans="3:17" x14ac:dyDescent="0.35">
      <c r="C62" s="74" t="s">
        <v>271</v>
      </c>
      <c r="D62" s="31" t="s">
        <v>268</v>
      </c>
      <c r="E62" s="138">
        <f t="shared" si="45"/>
        <v>0.99564422528122998</v>
      </c>
      <c r="F62" s="139">
        <f t="shared" si="45"/>
        <v>0.9904681969743927</v>
      </c>
      <c r="G62" s="139">
        <f t="shared" si="45"/>
        <v>0.98739604549271087</v>
      </c>
      <c r="H62" s="139">
        <f t="shared" si="45"/>
        <v>0.98395898671727522</v>
      </c>
      <c r="I62" s="139">
        <f t="shared" si="45"/>
        <v>0.97436069521999968</v>
      </c>
      <c r="J62" s="139">
        <f t="shared" si="45"/>
        <v>0.96948527757304104</v>
      </c>
      <c r="K62" s="139">
        <f t="shared" si="45"/>
        <v>0.96625607510942735</v>
      </c>
      <c r="L62" s="139">
        <f t="shared" si="45"/>
        <v>0.95355940498061087</v>
      </c>
      <c r="M62" s="139">
        <f t="shared" si="45"/>
        <v>0.92558251987145779</v>
      </c>
      <c r="N62" s="139">
        <f t="shared" si="45"/>
        <v>0.74950315732532369</v>
      </c>
      <c r="O62" s="139">
        <f t="shared" si="45"/>
        <v>0.65683350459093681</v>
      </c>
      <c r="P62" s="139">
        <f t="shared" si="45"/>
        <v>0.5764345140292324</v>
      </c>
      <c r="Q62" s="140">
        <f t="shared" si="45"/>
        <v>0.4345144947054832</v>
      </c>
    </row>
    <row r="63" spans="3:17" x14ac:dyDescent="0.35">
      <c r="C63" s="74" t="s">
        <v>272</v>
      </c>
      <c r="D63" s="31" t="s">
        <v>268</v>
      </c>
      <c r="E63" s="138">
        <f t="shared" si="45"/>
        <v>0.94411923092502925</v>
      </c>
      <c r="F63" s="139">
        <f t="shared" si="45"/>
        <v>0.90776514378059914</v>
      </c>
      <c r="G63" s="139">
        <f t="shared" si="45"/>
        <v>0.88226949529686149</v>
      </c>
      <c r="H63" s="139">
        <f t="shared" si="45"/>
        <v>0.89708200159755158</v>
      </c>
      <c r="I63" s="139">
        <f t="shared" si="45"/>
        <v>0.891717313346584</v>
      </c>
      <c r="J63" s="139">
        <f t="shared" si="45"/>
        <v>0.88683776163850681</v>
      </c>
      <c r="K63" s="139">
        <f t="shared" si="45"/>
        <v>0.88023594412794348</v>
      </c>
      <c r="L63" s="139">
        <f t="shared" si="45"/>
        <v>0.86041968355784071</v>
      </c>
      <c r="M63" s="139">
        <f t="shared" si="45"/>
        <v>0.8616165145177711</v>
      </c>
      <c r="N63" s="139">
        <f t="shared" si="45"/>
        <v>0.81696043648300576</v>
      </c>
      <c r="O63" s="139">
        <f t="shared" si="45"/>
        <v>0.81668074224427689</v>
      </c>
      <c r="P63" s="139">
        <f t="shared" si="45"/>
        <v>0.77201520491424735</v>
      </c>
      <c r="Q63" s="140">
        <f t="shared" si="45"/>
        <v>0.73109899103097242</v>
      </c>
    </row>
    <row r="64" spans="3:17" x14ac:dyDescent="0.35">
      <c r="C64" s="74" t="s">
        <v>273</v>
      </c>
      <c r="D64" s="31" t="s">
        <v>268</v>
      </c>
      <c r="E64" s="138">
        <f t="shared" si="45"/>
        <v>0.86444038752122243</v>
      </c>
      <c r="F64" s="139">
        <f t="shared" si="45"/>
        <v>0.87502125772346195</v>
      </c>
      <c r="G64" s="139">
        <f t="shared" si="45"/>
        <v>0.86489486234084789</v>
      </c>
      <c r="H64" s="139">
        <f t="shared" si="45"/>
        <v>0.94083542956806532</v>
      </c>
      <c r="I64" s="139">
        <f t="shared" si="45"/>
        <v>0.79558169644408105</v>
      </c>
      <c r="J64" s="139">
        <f t="shared" si="45"/>
        <v>0.72781998401136017</v>
      </c>
      <c r="K64" s="139">
        <f t="shared" si="45"/>
        <v>0.63807766471273619</v>
      </c>
      <c r="L64" s="139">
        <f t="shared" si="45"/>
        <v>0.6546323823930067</v>
      </c>
      <c r="M64" s="139">
        <f t="shared" si="45"/>
        <v>0.45755146666471574</v>
      </c>
      <c r="N64" s="139">
        <f t="shared" si="45"/>
        <v>0.34631273191402645</v>
      </c>
      <c r="O64" s="139">
        <f t="shared" si="45"/>
        <v>0.16594585040941923</v>
      </c>
      <c r="P64" s="139">
        <f t="shared" si="45"/>
        <v>0.10966961712234712</v>
      </c>
      <c r="Q64" s="140">
        <f t="shared" si="45"/>
        <v>0.12545105262250095</v>
      </c>
    </row>
    <row r="65" spans="3:17" x14ac:dyDescent="0.35">
      <c r="C65" s="74" t="s">
        <v>274</v>
      </c>
      <c r="D65" s="31" t="s">
        <v>268</v>
      </c>
      <c r="E65" s="138">
        <f t="shared" si="45"/>
        <v>0.42799999999999999</v>
      </c>
      <c r="F65" s="139">
        <f t="shared" si="45"/>
        <v>0.42799999999999999</v>
      </c>
      <c r="G65" s="139">
        <f t="shared" si="45"/>
        <v>0.42799999999999999</v>
      </c>
      <c r="H65" s="139">
        <f t="shared" si="45"/>
        <v>0.42799999999999999</v>
      </c>
      <c r="I65" s="139">
        <f t="shared" si="45"/>
        <v>0.42799999999999999</v>
      </c>
      <c r="J65" s="139">
        <f t="shared" si="45"/>
        <v>0.42799999999999999</v>
      </c>
      <c r="K65" s="139">
        <f t="shared" si="45"/>
        <v>0.42799999999999999</v>
      </c>
      <c r="L65" s="139">
        <f t="shared" si="45"/>
        <v>0.42799999999999999</v>
      </c>
      <c r="M65" s="139">
        <f t="shared" si="45"/>
        <v>0.42799999999999999</v>
      </c>
      <c r="N65" s="139">
        <f t="shared" si="45"/>
        <v>0.42799999999999999</v>
      </c>
      <c r="O65" s="139">
        <f t="shared" si="45"/>
        <v>0.42799999999999999</v>
      </c>
      <c r="P65" s="139">
        <f t="shared" si="45"/>
        <v>0.42799999999999999</v>
      </c>
      <c r="Q65" s="140">
        <f t="shared" si="45"/>
        <v>0.42799999999999999</v>
      </c>
    </row>
    <row r="66" spans="3:17" x14ac:dyDescent="0.35">
      <c r="C66" s="74" t="s">
        <v>275</v>
      </c>
      <c r="D66" s="31" t="s">
        <v>268</v>
      </c>
      <c r="E66" s="138">
        <f t="shared" si="45"/>
        <v>0.17113536277506289</v>
      </c>
      <c r="F66" s="139">
        <f t="shared" si="45"/>
        <v>0.17113536277506286</v>
      </c>
      <c r="G66" s="139">
        <f t="shared" si="45"/>
        <v>0.17113536277506292</v>
      </c>
      <c r="H66" s="139">
        <f t="shared" si="45"/>
        <v>0.17113536277506289</v>
      </c>
      <c r="I66" s="139">
        <f t="shared" si="45"/>
        <v>0.17113536277506292</v>
      </c>
      <c r="J66" s="139">
        <f t="shared" si="45"/>
        <v>0.17113536277506289</v>
      </c>
      <c r="K66" s="139">
        <f t="shared" si="45"/>
        <v>0.17113536277506289</v>
      </c>
      <c r="L66" s="139">
        <f t="shared" si="45"/>
        <v>0.17113536277506286</v>
      </c>
      <c r="M66" s="139">
        <f t="shared" si="45"/>
        <v>0.17113536277506289</v>
      </c>
      <c r="N66" s="139">
        <f t="shared" si="45"/>
        <v>0.17113536277506289</v>
      </c>
      <c r="O66" s="139">
        <f t="shared" si="45"/>
        <v>0.17113536277506292</v>
      </c>
      <c r="P66" s="139">
        <f t="shared" si="45"/>
        <v>0.17113536277506289</v>
      </c>
      <c r="Q66" s="140">
        <f t="shared" si="45"/>
        <v>0.17113536277506286</v>
      </c>
    </row>
    <row r="67" spans="3:17" x14ac:dyDescent="0.35">
      <c r="C67" s="99" t="s">
        <v>276</v>
      </c>
      <c r="D67" s="33" t="s">
        <v>268</v>
      </c>
      <c r="E67" s="141">
        <f t="shared" si="45"/>
        <v>0</v>
      </c>
      <c r="F67" s="142">
        <f t="shared" si="45"/>
        <v>0.19469197345801562</v>
      </c>
      <c r="G67" s="142">
        <f t="shared" si="45"/>
        <v>0.19469197345801559</v>
      </c>
      <c r="H67" s="142">
        <f t="shared" si="45"/>
        <v>0.11333518261686415</v>
      </c>
      <c r="I67" s="142">
        <f t="shared" si="45"/>
        <v>3.3580794849441223E-2</v>
      </c>
      <c r="J67" s="142">
        <f t="shared" si="45"/>
        <v>4.6704058770685786E-2</v>
      </c>
      <c r="K67" s="142">
        <f t="shared" si="45"/>
        <v>3.2797962815169689E-2</v>
      </c>
      <c r="L67" s="142">
        <f t="shared" si="45"/>
        <v>7.3914249532737494E-2</v>
      </c>
      <c r="M67" s="142">
        <f t="shared" si="45"/>
        <v>5.3862265006034457E-2</v>
      </c>
      <c r="N67" s="142">
        <f t="shared" si="45"/>
        <v>5.9650096114139024E-2</v>
      </c>
      <c r="O67" s="142">
        <f t="shared" si="45"/>
        <v>3.3443168641041882E-2</v>
      </c>
      <c r="P67" s="142">
        <f t="shared" si="45"/>
        <v>4.510277675569084E-2</v>
      </c>
      <c r="Q67" s="143">
        <f t="shared" si="45"/>
        <v>0</v>
      </c>
    </row>
    <row r="70" spans="3:17" x14ac:dyDescent="0.35">
      <c r="C70" s="15" t="s">
        <v>299</v>
      </c>
      <c r="E70" s="985">
        <v>2011</v>
      </c>
      <c r="F70" s="986">
        <v>2012</v>
      </c>
      <c r="G70" s="986">
        <v>2013</v>
      </c>
      <c r="H70" s="986">
        <v>2014</v>
      </c>
      <c r="I70" s="986">
        <v>2015</v>
      </c>
      <c r="J70" s="986">
        <v>2016</v>
      </c>
      <c r="K70" s="987">
        <v>2017</v>
      </c>
      <c r="L70" s="987">
        <v>2018</v>
      </c>
      <c r="M70" s="987">
        <v>2019</v>
      </c>
      <c r="N70" s="987">
        <v>2020</v>
      </c>
      <c r="O70" s="987">
        <v>2021</v>
      </c>
      <c r="P70" s="987">
        <v>2022</v>
      </c>
      <c r="Q70" s="988">
        <v>2023</v>
      </c>
    </row>
    <row r="71" spans="3:17" x14ac:dyDescent="0.35">
      <c r="C71" s="72" t="s">
        <v>300</v>
      </c>
      <c r="D71" s="73" t="s">
        <v>298</v>
      </c>
      <c r="E71" s="72"/>
      <c r="F71" s="395">
        <f t="shared" ref="F71:Q71" si="46">F5/E5-1</f>
        <v>3.7031469026507002E-2</v>
      </c>
      <c r="G71" s="395">
        <f t="shared" si="46"/>
        <v>2.6762906719666191E-2</v>
      </c>
      <c r="H71" s="395">
        <f t="shared" si="46"/>
        <v>1.6977184650186716E-2</v>
      </c>
      <c r="I71" s="395">
        <f t="shared" si="46"/>
        <v>-2.4677724375013588E-2</v>
      </c>
      <c r="J71" s="395">
        <f t="shared" si="46"/>
        <v>0.12031942517706229</v>
      </c>
      <c r="K71" s="395">
        <f t="shared" si="46"/>
        <v>7.1522706214726783E-2</v>
      </c>
      <c r="L71" s="395">
        <f t="shared" si="46"/>
        <v>8.8505002479083217E-2</v>
      </c>
      <c r="M71" s="395">
        <f t="shared" si="46"/>
        <v>-6.8610818575405963E-2</v>
      </c>
      <c r="N71" s="395">
        <f t="shared" si="46"/>
        <v>-5.8998020898622938E-3</v>
      </c>
      <c r="O71" s="395">
        <f t="shared" si="46"/>
        <v>0.32473466333008294</v>
      </c>
      <c r="P71" s="395">
        <f t="shared" si="46"/>
        <v>-0.18024296842133758</v>
      </c>
      <c r="Q71" s="351">
        <f t="shared" si="46"/>
        <v>-0.1911410364189986</v>
      </c>
    </row>
    <row r="72" spans="3:17" x14ac:dyDescent="0.35">
      <c r="C72" s="74" t="s">
        <v>301</v>
      </c>
      <c r="D72" t="s">
        <v>268</v>
      </c>
      <c r="E72" s="74"/>
      <c r="F72" s="139">
        <f t="shared" ref="F72:Q72" si="47">F6/E6-1</f>
        <v>4.9988372223457533E-2</v>
      </c>
      <c r="G72" s="139">
        <f t="shared" si="47"/>
        <v>6.9675079928099626E-2</v>
      </c>
      <c r="H72" s="139">
        <f t="shared" si="47"/>
        <v>-0.1038775388885198</v>
      </c>
      <c r="I72" s="139">
        <f t="shared" si="47"/>
        <v>-0.12529183942974198</v>
      </c>
      <c r="J72" s="139">
        <f t="shared" si="47"/>
        <v>-4.507909406868793E-2</v>
      </c>
      <c r="K72" s="139">
        <f t="shared" si="47"/>
        <v>6.7404102240724795E-2</v>
      </c>
      <c r="L72" s="139">
        <f t="shared" si="47"/>
        <v>9.2529010517726773E-2</v>
      </c>
      <c r="M72" s="139">
        <f t="shared" si="47"/>
        <v>0.1291460909784008</v>
      </c>
      <c r="N72" s="139">
        <f t="shared" si="47"/>
        <v>-0.1575078647236251</v>
      </c>
      <c r="O72" s="139">
        <f t="shared" si="47"/>
        <v>0.10423048229851961</v>
      </c>
      <c r="P72" s="139">
        <f t="shared" si="47"/>
        <v>9.482739293581921E-2</v>
      </c>
      <c r="Q72" s="140">
        <f t="shared" si="47"/>
        <v>0.10519008819347531</v>
      </c>
    </row>
    <row r="73" spans="3:17" x14ac:dyDescent="0.35">
      <c r="C73" s="74" t="s">
        <v>302</v>
      </c>
      <c r="D73" t="s">
        <v>268</v>
      </c>
      <c r="E73" s="74"/>
      <c r="F73" s="139">
        <f t="shared" ref="F73:Q73" si="48">F7/E7-1</f>
        <v>9.0331602461132032E-2</v>
      </c>
      <c r="G73" s="139">
        <f t="shared" si="48"/>
        <v>5.4541526825233611E-2</v>
      </c>
      <c r="H73" s="139">
        <f t="shared" si="48"/>
        <v>-6.5945750812036796E-2</v>
      </c>
      <c r="I73" s="139">
        <f t="shared" si="48"/>
        <v>-3.2386405051070377E-2</v>
      </c>
      <c r="J73" s="139">
        <f t="shared" si="48"/>
        <v>-5.3883561776816968E-2</v>
      </c>
      <c r="K73" s="139">
        <f t="shared" si="48"/>
        <v>4.5613300019718972E-2</v>
      </c>
      <c r="L73" s="139">
        <f t="shared" si="48"/>
        <v>7.3300245475447445E-2</v>
      </c>
      <c r="M73" s="139">
        <f t="shared" si="48"/>
        <v>7.6585541789548905E-3</v>
      </c>
      <c r="N73" s="139">
        <f t="shared" si="48"/>
        <v>-0.10064516062214912</v>
      </c>
      <c r="O73" s="139">
        <f t="shared" si="48"/>
        <v>9.9775682498263407E-2</v>
      </c>
      <c r="P73" s="139">
        <f t="shared" si="48"/>
        <v>0.2611045697259855</v>
      </c>
      <c r="Q73" s="140">
        <f t="shared" si="48"/>
        <v>0.17242430920076468</v>
      </c>
    </row>
    <row r="74" spans="3:17" x14ac:dyDescent="0.35">
      <c r="C74" s="74" t="s">
        <v>303</v>
      </c>
      <c r="D74" t="s">
        <v>268</v>
      </c>
      <c r="E74" s="74"/>
      <c r="F74" s="139">
        <f t="shared" ref="F74:Q74" si="49">F8/E8-1</f>
        <v>-1.1781014748435181E-2</v>
      </c>
      <c r="G74" s="139">
        <f t="shared" si="49"/>
        <v>-2.0777501577306512E-2</v>
      </c>
      <c r="H74" s="139">
        <f t="shared" si="49"/>
        <v>4.7449306292383975E-2</v>
      </c>
      <c r="I74" s="139">
        <f t="shared" si="49"/>
        <v>0.13118620261409508</v>
      </c>
      <c r="J74" s="139">
        <f t="shared" si="49"/>
        <v>0.13974203324960399</v>
      </c>
      <c r="K74" s="139">
        <f t="shared" si="49"/>
        <v>9.6660528137411772E-2</v>
      </c>
      <c r="L74" s="139">
        <f t="shared" si="49"/>
        <v>-3.7618392670105694E-2</v>
      </c>
      <c r="M74" s="139">
        <f t="shared" si="49"/>
        <v>2.3838415911844768E-2</v>
      </c>
      <c r="N74" s="139">
        <f t="shared" si="49"/>
        <v>-0.39954726001722007</v>
      </c>
      <c r="O74" s="139">
        <f t="shared" si="49"/>
        <v>-1.3259098479710851E-2</v>
      </c>
      <c r="P74" s="139">
        <f t="shared" si="49"/>
        <v>-0.1373658400593939</v>
      </c>
      <c r="Q74" s="140">
        <f t="shared" si="49"/>
        <v>-2.9931088492614166E-2</v>
      </c>
    </row>
    <row r="75" spans="3:17" x14ac:dyDescent="0.35">
      <c r="C75" s="74" t="s">
        <v>304</v>
      </c>
      <c r="D75" t="s">
        <v>268</v>
      </c>
      <c r="E75" s="74"/>
      <c r="F75" s="139">
        <f t="shared" ref="F75:Q75" si="50">F9/E9-1</f>
        <v>-0.10771454107246015</v>
      </c>
      <c r="G75" s="139">
        <f t="shared" si="50"/>
        <v>-4.845749186967796E-2</v>
      </c>
      <c r="H75" s="139">
        <f t="shared" si="50"/>
        <v>1.7651579522760752E-2</v>
      </c>
      <c r="I75" s="139">
        <f t="shared" si="50"/>
        <v>2.1852605267706382E-2</v>
      </c>
      <c r="J75" s="139">
        <f t="shared" si="50"/>
        <v>7.9826586135738564E-2</v>
      </c>
      <c r="K75" s="139">
        <f t="shared" si="50"/>
        <v>7.1917948520215269E-2</v>
      </c>
      <c r="L75" s="139">
        <f t="shared" si="50"/>
        <v>3.9278150727739325E-2</v>
      </c>
      <c r="M75" s="139">
        <f t="shared" si="50"/>
        <v>9.2454925742689875E-2</v>
      </c>
      <c r="N75" s="139">
        <f t="shared" si="50"/>
        <v>-0.11869164232725393</v>
      </c>
      <c r="O75" s="139">
        <f t="shared" si="50"/>
        <v>0.13955806949889604</v>
      </c>
      <c r="P75" s="139">
        <f t="shared" si="50"/>
        <v>-0.12446372394405569</v>
      </c>
      <c r="Q75" s="140">
        <f t="shared" si="50"/>
        <v>0.25457658854370813</v>
      </c>
    </row>
    <row r="76" spans="3:17" x14ac:dyDescent="0.35">
      <c r="C76" s="74" t="s">
        <v>305</v>
      </c>
      <c r="D76" t="s">
        <v>268</v>
      </c>
      <c r="E76" s="74"/>
      <c r="F76" s="139">
        <f t="shared" ref="F76:Q76" si="51">F10/E10-1</f>
        <v>-5.6451239337862336E-2</v>
      </c>
      <c r="G76" s="139">
        <f t="shared" si="51"/>
        <v>0.126465984443626</v>
      </c>
      <c r="H76" s="139">
        <f t="shared" si="51"/>
        <v>-0.15313805587803075</v>
      </c>
      <c r="I76" s="139">
        <f t="shared" si="51"/>
        <v>0.22968756171392357</v>
      </c>
      <c r="J76" s="139">
        <f t="shared" si="51"/>
        <v>-0.21417290650032383</v>
      </c>
      <c r="K76" s="139">
        <f t="shared" si="51"/>
        <v>-0.13425570249941132</v>
      </c>
      <c r="L76" s="139">
        <f t="shared" si="51"/>
        <v>-5.0340038497852846E-2</v>
      </c>
      <c r="M76" s="139">
        <f t="shared" si="51"/>
        <v>-0.10574594146117577</v>
      </c>
      <c r="N76" s="139">
        <f t="shared" si="51"/>
        <v>-0.20305789845077538</v>
      </c>
      <c r="O76" s="139">
        <f t="shared" si="51"/>
        <v>-0.32564977946636275</v>
      </c>
      <c r="P76" s="139">
        <f t="shared" si="51"/>
        <v>-0.44755048292432953</v>
      </c>
      <c r="Q76" s="140">
        <f t="shared" si="51"/>
        <v>8.6637066679831731E-2</v>
      </c>
    </row>
    <row r="77" spans="3:17" x14ac:dyDescent="0.35">
      <c r="C77" s="74" t="s">
        <v>306</v>
      </c>
      <c r="D77" t="s">
        <v>268</v>
      </c>
      <c r="E77" s="74"/>
      <c r="F77" s="139">
        <f t="shared" ref="F77:Q77" si="52">F11/E11-1</f>
        <v>0</v>
      </c>
      <c r="G77" s="139">
        <f t="shared" si="52"/>
        <v>0</v>
      </c>
      <c r="H77" s="139">
        <f t="shared" si="52"/>
        <v>0</v>
      </c>
      <c r="I77" s="139">
        <f t="shared" si="52"/>
        <v>0</v>
      </c>
      <c r="J77" s="139">
        <f t="shared" si="52"/>
        <v>0</v>
      </c>
      <c r="K77" s="139">
        <f t="shared" si="52"/>
        <v>0</v>
      </c>
      <c r="L77" s="139">
        <f t="shared" si="52"/>
        <v>0</v>
      </c>
      <c r="M77" s="139">
        <f t="shared" si="52"/>
        <v>0</v>
      </c>
      <c r="N77" s="139">
        <f t="shared" si="52"/>
        <v>0</v>
      </c>
      <c r="O77" s="139">
        <f t="shared" si="52"/>
        <v>0</v>
      </c>
      <c r="P77" s="139">
        <f t="shared" si="52"/>
        <v>0</v>
      </c>
      <c r="Q77" s="140">
        <f t="shared" si="52"/>
        <v>0</v>
      </c>
    </row>
    <row r="78" spans="3:17" x14ac:dyDescent="0.35">
      <c r="C78" s="74" t="s">
        <v>307</v>
      </c>
      <c r="D78" t="s">
        <v>268</v>
      </c>
      <c r="E78" s="74"/>
      <c r="F78" s="139">
        <f t="shared" ref="F78:Q78" si="53">F12/E12-1</f>
        <v>6.0355412617596693E-2</v>
      </c>
      <c r="G78" s="139">
        <f t="shared" si="53"/>
        <v>8.0404813506519623E-2</v>
      </c>
      <c r="H78" s="139">
        <f t="shared" si="53"/>
        <v>-0.12332372336740971</v>
      </c>
      <c r="I78" s="139">
        <f t="shared" si="53"/>
        <v>-9.6007394762146925E-2</v>
      </c>
      <c r="J78" s="139">
        <f t="shared" si="53"/>
        <v>7.2593722742846367E-3</v>
      </c>
      <c r="K78" s="139">
        <f t="shared" si="53"/>
        <v>6.2642971054139629E-2</v>
      </c>
      <c r="L78" s="139">
        <f t="shared" si="53"/>
        <v>9.7170407578118345E-2</v>
      </c>
      <c r="M78" s="139">
        <f t="shared" si="53"/>
        <v>0.11802848173578018</v>
      </c>
      <c r="N78" s="139">
        <f t="shared" si="53"/>
        <v>-0.15028423437909821</v>
      </c>
      <c r="O78" s="139">
        <f t="shared" si="53"/>
        <v>4.9463336858371898E-2</v>
      </c>
      <c r="P78" s="139">
        <f t="shared" si="53"/>
        <v>0.1104647073459839</v>
      </c>
      <c r="Q78" s="140">
        <f t="shared" si="53"/>
        <v>3.9077824798445793E-2</v>
      </c>
    </row>
    <row r="79" spans="3:17" x14ac:dyDescent="0.35">
      <c r="C79" s="74" t="s">
        <v>308</v>
      </c>
      <c r="D79" t="s">
        <v>268</v>
      </c>
      <c r="E79" s="74"/>
      <c r="F79" s="139" t="e">
        <f t="shared" ref="F79:Q79" si="54">F13/E13-1</f>
        <v>#DIV/0!</v>
      </c>
      <c r="G79" s="139">
        <f t="shared" si="54"/>
        <v>0.65995975855130773</v>
      </c>
      <c r="H79" s="139">
        <f t="shared" si="54"/>
        <v>-0.36495388669301709</v>
      </c>
      <c r="I79" s="139">
        <f t="shared" si="54"/>
        <v>-0.6533991769547326</v>
      </c>
      <c r="J79" s="139">
        <f t="shared" si="54"/>
        <v>0.36193890297054576</v>
      </c>
      <c r="K79" s="139">
        <f t="shared" si="54"/>
        <v>-0.38348411590655507</v>
      </c>
      <c r="L79" s="139">
        <f t="shared" si="54"/>
        <v>1.9743629971428089</v>
      </c>
      <c r="M79" s="139">
        <f t="shared" si="54"/>
        <v>-0.18537494589911685</v>
      </c>
      <c r="N79" s="139">
        <f t="shared" si="54"/>
        <v>0.43526546855874826</v>
      </c>
      <c r="O79" s="139">
        <f t="shared" si="54"/>
        <v>-0.2569232999332357</v>
      </c>
      <c r="P79" s="139">
        <f t="shared" si="54"/>
        <v>0.13515810098818282</v>
      </c>
      <c r="Q79" s="140">
        <f t="shared" si="54"/>
        <v>-1</v>
      </c>
    </row>
    <row r="80" spans="3:17" x14ac:dyDescent="0.35">
      <c r="C80" s="72" t="s">
        <v>309</v>
      </c>
      <c r="D80" s="73" t="s">
        <v>298</v>
      </c>
      <c r="E80" s="72"/>
      <c r="F80" s="395">
        <f t="shared" ref="F80:Q80" si="55">F27/E27-1</f>
        <v>1.3392615288080556E-2</v>
      </c>
      <c r="G80" s="395">
        <f t="shared" si="55"/>
        <v>2.6532760762958407E-2</v>
      </c>
      <c r="H80" s="395">
        <f t="shared" si="55"/>
        <v>6.5433560455758988E-2</v>
      </c>
      <c r="I80" s="395">
        <f t="shared" si="55"/>
        <v>3.6738466936379499E-2</v>
      </c>
      <c r="J80" s="395">
        <f t="shared" si="55"/>
        <v>0.113961477502458</v>
      </c>
      <c r="K80" s="395">
        <f t="shared" si="55"/>
        <v>0.11850332878359437</v>
      </c>
      <c r="L80" s="395">
        <f t="shared" si="55"/>
        <v>1.1682020555110251E-2</v>
      </c>
      <c r="M80" s="395">
        <f t="shared" si="55"/>
        <v>1.1778332808436209E-2</v>
      </c>
      <c r="N80" s="395">
        <f t="shared" si="55"/>
        <v>-4.1421949094045063E-2</v>
      </c>
      <c r="O80" s="395">
        <f t="shared" si="55"/>
        <v>0.31844358877990819</v>
      </c>
      <c r="P80" s="395">
        <f t="shared" si="55"/>
        <v>0.14108246223474175</v>
      </c>
      <c r="Q80" s="351">
        <f t="shared" si="55"/>
        <v>-2.3186346971528771E-2</v>
      </c>
    </row>
    <row r="81" spans="3:17" x14ac:dyDescent="0.35">
      <c r="C81" s="74" t="s">
        <v>310</v>
      </c>
      <c r="D81" t="s">
        <v>268</v>
      </c>
      <c r="E81" s="74"/>
      <c r="F81" s="139">
        <f t="shared" ref="F81:Q81" si="56">F28/E28-1</f>
        <v>4.9988372223457533E-2</v>
      </c>
      <c r="G81" s="139">
        <f t="shared" si="56"/>
        <v>6.9675079928099404E-2</v>
      </c>
      <c r="H81" s="139">
        <f t="shared" si="56"/>
        <v>-0.1038775388885198</v>
      </c>
      <c r="I81" s="139">
        <f t="shared" si="56"/>
        <v>-0.12529183942974187</v>
      </c>
      <c r="J81" s="139">
        <f t="shared" si="56"/>
        <v>-4.5079094068687819E-2</v>
      </c>
      <c r="K81" s="139">
        <f t="shared" si="56"/>
        <v>6.7404102240724795E-2</v>
      </c>
      <c r="L81" s="139">
        <f t="shared" si="56"/>
        <v>9.2529010517726773E-2</v>
      </c>
      <c r="M81" s="139">
        <f t="shared" si="56"/>
        <v>0.1291460909784008</v>
      </c>
      <c r="N81" s="139">
        <f t="shared" si="56"/>
        <v>-0.1575078647236251</v>
      </c>
      <c r="O81" s="139">
        <f t="shared" si="56"/>
        <v>0.10423048229851961</v>
      </c>
      <c r="P81" s="139">
        <f t="shared" si="56"/>
        <v>9.4827392935818988E-2</v>
      </c>
      <c r="Q81" s="140">
        <f t="shared" si="56"/>
        <v>0.10519008819347531</v>
      </c>
    </row>
    <row r="82" spans="3:17" x14ac:dyDescent="0.35">
      <c r="C82" s="74" t="s">
        <v>311</v>
      </c>
      <c r="D82" t="s">
        <v>268</v>
      </c>
      <c r="E82" s="74"/>
      <c r="F82" s="139">
        <f t="shared" ref="F82:Q82" si="57">F29/E29-1</f>
        <v>7.2582790604327263E-2</v>
      </c>
      <c r="G82" s="139">
        <f t="shared" si="57"/>
        <v>9.8997284411016073E-2</v>
      </c>
      <c r="H82" s="139">
        <f t="shared" si="57"/>
        <v>-5.6245231066500478E-2</v>
      </c>
      <c r="I82" s="139">
        <f t="shared" si="57"/>
        <v>2.2849497342854796E-2</v>
      </c>
      <c r="J82" s="139">
        <f t="shared" si="57"/>
        <v>-3.9963522416880615E-2</v>
      </c>
      <c r="K82" s="139">
        <f t="shared" si="57"/>
        <v>2.8438039238257939E-2</v>
      </c>
      <c r="L82" s="139">
        <f t="shared" si="57"/>
        <v>3.6718067452329306E-2</v>
      </c>
      <c r="M82" s="139">
        <f t="shared" si="57"/>
        <v>1.9339200261847544E-2</v>
      </c>
      <c r="N82" s="139">
        <f t="shared" si="57"/>
        <v>-4.0386469677272219E-2</v>
      </c>
      <c r="O82" s="139">
        <f t="shared" si="57"/>
        <v>5.0275595470895773E-2</v>
      </c>
      <c r="P82" s="139">
        <f t="shared" si="57"/>
        <v>0.26133542197063009</v>
      </c>
      <c r="Q82" s="140">
        <f t="shared" si="57"/>
        <v>0.2889517223957907</v>
      </c>
    </row>
    <row r="83" spans="3:17" x14ac:dyDescent="0.35">
      <c r="C83" s="74" t="s">
        <v>312</v>
      </c>
      <c r="D83" t="s">
        <v>268</v>
      </c>
      <c r="E83" s="74"/>
      <c r="F83" s="139">
        <f t="shared" ref="F83:Q83" si="58">F30/E30-1</f>
        <v>-6.6167404621519932E-3</v>
      </c>
      <c r="G83" s="139">
        <f t="shared" si="58"/>
        <v>-1.773078100033243E-2</v>
      </c>
      <c r="H83" s="139">
        <f t="shared" si="58"/>
        <v>5.1108142563626391E-2</v>
      </c>
      <c r="I83" s="139">
        <f t="shared" si="58"/>
        <v>0.14232936034167021</v>
      </c>
      <c r="J83" s="139">
        <f t="shared" si="58"/>
        <v>0.14547365037719584</v>
      </c>
      <c r="K83" s="139">
        <f t="shared" si="58"/>
        <v>0.10032553886327777</v>
      </c>
      <c r="L83" s="139">
        <f t="shared" si="58"/>
        <v>-2.4804254670432457E-2</v>
      </c>
      <c r="M83" s="139">
        <f t="shared" si="58"/>
        <v>5.4785207923734758E-2</v>
      </c>
      <c r="N83" s="139">
        <f t="shared" si="58"/>
        <v>-0.25848403078074023</v>
      </c>
      <c r="O83" s="139">
        <f t="shared" si="58"/>
        <v>0.12595568889574227</v>
      </c>
      <c r="P83" s="139">
        <f t="shared" si="58"/>
        <v>-1.7048763279096324E-2</v>
      </c>
      <c r="Q83" s="140">
        <f t="shared" si="58"/>
        <v>0.28691035257326258</v>
      </c>
    </row>
    <row r="84" spans="3:17" x14ac:dyDescent="0.35">
      <c r="C84" s="74" t="s">
        <v>313</v>
      </c>
      <c r="D84" t="s">
        <v>268</v>
      </c>
      <c r="E84" s="74"/>
      <c r="F84" s="139">
        <f t="shared" ref="F84:Q84" si="59">F31/E31-1</f>
        <v>-7.198038278955543E-2</v>
      </c>
      <c r="G84" s="139">
        <f t="shared" si="59"/>
        <v>-2.0960005632253753E-2</v>
      </c>
      <c r="H84" s="139">
        <f t="shared" si="59"/>
        <v>8.4824336537048239E-4</v>
      </c>
      <c r="I84" s="139">
        <f t="shared" si="59"/>
        <v>2.8000204494110115E-2</v>
      </c>
      <c r="J84" s="139">
        <f t="shared" si="59"/>
        <v>8.5767999425437447E-2</v>
      </c>
      <c r="K84" s="139">
        <f t="shared" si="59"/>
        <v>7.9957391500970587E-2</v>
      </c>
      <c r="L84" s="139">
        <f t="shared" si="59"/>
        <v>6.3213687109795025E-2</v>
      </c>
      <c r="M84" s="139">
        <f t="shared" si="59"/>
        <v>9.0937448007030186E-2</v>
      </c>
      <c r="N84" s="139">
        <f t="shared" si="59"/>
        <v>-7.0518226534500572E-2</v>
      </c>
      <c r="O84" s="139">
        <f t="shared" si="59"/>
        <v>0.13994834174391046</v>
      </c>
      <c r="P84" s="139">
        <f t="shared" si="59"/>
        <v>-7.3808894903071076E-2</v>
      </c>
      <c r="Q84" s="140">
        <f t="shared" si="59"/>
        <v>0.32478941151234064</v>
      </c>
    </row>
    <row r="85" spans="3:17" x14ac:dyDescent="0.35">
      <c r="C85" s="74" t="s">
        <v>314</v>
      </c>
      <c r="D85" t="s">
        <v>268</v>
      </c>
      <c r="E85" s="74"/>
      <c r="F85" s="139">
        <f t="shared" ref="F85:Q85" si="60">F32/E32-1</f>
        <v>-6.7860752967307536E-2</v>
      </c>
      <c r="G85" s="139">
        <f t="shared" si="60"/>
        <v>0.13965491692574128</v>
      </c>
      <c r="H85" s="139">
        <f t="shared" si="60"/>
        <v>-0.22149344979563812</v>
      </c>
      <c r="I85" s="139">
        <f t="shared" si="60"/>
        <v>0.45419839411921825</v>
      </c>
      <c r="J85" s="139">
        <f t="shared" si="60"/>
        <v>-0.14101059892244516</v>
      </c>
      <c r="K85" s="139">
        <f t="shared" si="60"/>
        <v>-1.2493250255860899E-2</v>
      </c>
      <c r="L85" s="139">
        <f t="shared" si="60"/>
        <v>-7.4355582149169264E-2</v>
      </c>
      <c r="M85" s="139">
        <f t="shared" si="60"/>
        <v>0.27943566452352853</v>
      </c>
      <c r="N85" s="139">
        <f t="shared" si="60"/>
        <v>5.2927004431452485E-2</v>
      </c>
      <c r="O85" s="139">
        <f t="shared" si="60"/>
        <v>0.4073028434495547</v>
      </c>
      <c r="P85" s="139">
        <f t="shared" si="60"/>
        <v>-0.16406469426148507</v>
      </c>
      <c r="Q85" s="140">
        <f t="shared" si="60"/>
        <v>-5.0059217818368862E-2</v>
      </c>
    </row>
    <row r="86" spans="3:17" x14ac:dyDescent="0.35">
      <c r="C86" s="74" t="s">
        <v>315</v>
      </c>
      <c r="D86" t="s">
        <v>268</v>
      </c>
      <c r="E86" s="74"/>
      <c r="F86" s="139">
        <f t="shared" ref="F86:Q86" si="61">F33/E33-1</f>
        <v>0</v>
      </c>
      <c r="G86" s="139">
        <f t="shared" si="61"/>
        <v>0</v>
      </c>
      <c r="H86" s="139">
        <f t="shared" si="61"/>
        <v>0</v>
      </c>
      <c r="I86" s="139">
        <f t="shared" si="61"/>
        <v>0</v>
      </c>
      <c r="J86" s="139">
        <f t="shared" si="61"/>
        <v>0</v>
      </c>
      <c r="K86" s="139">
        <f t="shared" si="61"/>
        <v>0</v>
      </c>
      <c r="L86" s="139">
        <f t="shared" si="61"/>
        <v>0</v>
      </c>
      <c r="M86" s="139">
        <f t="shared" si="61"/>
        <v>0</v>
      </c>
      <c r="N86" s="139">
        <f t="shared" si="61"/>
        <v>0</v>
      </c>
      <c r="O86" s="139">
        <f t="shared" si="61"/>
        <v>0</v>
      </c>
      <c r="P86" s="139">
        <f t="shared" si="61"/>
        <v>0</v>
      </c>
      <c r="Q86" s="140">
        <f t="shared" si="61"/>
        <v>0</v>
      </c>
    </row>
    <row r="87" spans="3:17" x14ac:dyDescent="0.35">
      <c r="C87" s="74" t="s">
        <v>316</v>
      </c>
      <c r="D87" t="s">
        <v>268</v>
      </c>
      <c r="E87" s="74"/>
      <c r="F87" s="139">
        <f t="shared" ref="F87:Q87" si="62">F34/E34-1</f>
        <v>6.0355412617596693E-2</v>
      </c>
      <c r="G87" s="139">
        <f t="shared" si="62"/>
        <v>8.0404813506519401E-2</v>
      </c>
      <c r="H87" s="139">
        <f t="shared" si="62"/>
        <v>-0.12332372336740949</v>
      </c>
      <c r="I87" s="139">
        <f t="shared" si="62"/>
        <v>-9.6007394762147147E-2</v>
      </c>
      <c r="J87" s="139">
        <f t="shared" si="62"/>
        <v>7.2593722742848588E-3</v>
      </c>
      <c r="K87" s="139">
        <f t="shared" si="62"/>
        <v>6.2642971054139629E-2</v>
      </c>
      <c r="L87" s="139">
        <f t="shared" si="62"/>
        <v>9.7170407578118345E-2</v>
      </c>
      <c r="M87" s="139">
        <f t="shared" si="62"/>
        <v>0.11802848173578018</v>
      </c>
      <c r="N87" s="139">
        <f t="shared" si="62"/>
        <v>-0.15028423437909821</v>
      </c>
      <c r="O87" s="139">
        <f t="shared" si="62"/>
        <v>4.9463336858371676E-2</v>
      </c>
      <c r="P87" s="139">
        <f t="shared" si="62"/>
        <v>0.11046470734598413</v>
      </c>
      <c r="Q87" s="140">
        <f t="shared" si="62"/>
        <v>3.9077824798445793E-2</v>
      </c>
    </row>
    <row r="88" spans="3:17" x14ac:dyDescent="0.35">
      <c r="C88" s="99" t="s">
        <v>317</v>
      </c>
      <c r="D88" s="100" t="s">
        <v>268</v>
      </c>
      <c r="E88" s="99"/>
      <c r="F88" s="142">
        <f t="shared" ref="F88:Q88" si="63">F35/E35-1</f>
        <v>0.14942528735632177</v>
      </c>
      <c r="G88" s="142">
        <f t="shared" si="63"/>
        <v>0.65995975855130795</v>
      </c>
      <c r="H88" s="142">
        <f t="shared" si="63"/>
        <v>9.0909090909090828E-2</v>
      </c>
      <c r="I88" s="142">
        <f t="shared" si="63"/>
        <v>0.16977777777777781</v>
      </c>
      <c r="J88" s="142">
        <f t="shared" si="63"/>
        <v>-2.0749114703647376E-2</v>
      </c>
      <c r="K88" s="142">
        <f t="shared" si="63"/>
        <v>-0.12208589765081757</v>
      </c>
      <c r="L88" s="142">
        <f t="shared" si="63"/>
        <v>0.31981380580613372</v>
      </c>
      <c r="M88" s="142">
        <f t="shared" si="63"/>
        <v>0.11789579435039665</v>
      </c>
      <c r="N88" s="142">
        <f t="shared" si="63"/>
        <v>0.29600208646096893</v>
      </c>
      <c r="O88" s="142">
        <f t="shared" si="63"/>
        <v>0.32537072234130471</v>
      </c>
      <c r="P88" s="142">
        <f t="shared" si="63"/>
        <v>-0.15829386711090598</v>
      </c>
      <c r="Q88" s="143">
        <f t="shared" si="63"/>
        <v>6.4735631169687835E-3</v>
      </c>
    </row>
    <row r="93" spans="3:17" x14ac:dyDescent="0.35">
      <c r="C93" s="15" t="s">
        <v>318</v>
      </c>
      <c r="D93" s="15"/>
    </row>
    <row r="94" spans="3:17" x14ac:dyDescent="0.35">
      <c r="C94" s="15" t="s">
        <v>319</v>
      </c>
      <c r="D94" s="15"/>
      <c r="E94" s="58" t="s">
        <v>320</v>
      </c>
      <c r="F94" s="58" t="s">
        <v>321</v>
      </c>
      <c r="G94" s="58" t="s">
        <v>322</v>
      </c>
      <c r="H94" s="15"/>
      <c r="J94" s="15"/>
    </row>
    <row r="95" spans="3:17" x14ac:dyDescent="0.35">
      <c r="C95" s="72" t="s">
        <v>265</v>
      </c>
      <c r="D95" s="73" t="s">
        <v>266</v>
      </c>
      <c r="E95" s="1004">
        <f>Q27</f>
        <v>1912.7988499142102</v>
      </c>
      <c r="F95" s="1005">
        <f>Q5</f>
        <v>335.48251784312123</v>
      </c>
      <c r="G95" s="530">
        <v>2023</v>
      </c>
    </row>
    <row r="96" spans="3:17" x14ac:dyDescent="0.35">
      <c r="C96" s="74" t="s">
        <v>323</v>
      </c>
      <c r="D96" t="s">
        <v>268</v>
      </c>
      <c r="E96" s="1006">
        <f>RESTAUCO!T32/10^6</f>
        <v>1139.6980519299998</v>
      </c>
      <c r="F96" s="1002">
        <f>RESTAUCO!T65/10^6</f>
        <v>86.617051946679993</v>
      </c>
      <c r="G96" s="453">
        <v>2023</v>
      </c>
    </row>
    <row r="97" spans="3:7" x14ac:dyDescent="0.35">
      <c r="C97" s="74" t="s">
        <v>267</v>
      </c>
      <c r="D97" t="s">
        <v>268</v>
      </c>
      <c r="E97" s="1007">
        <f>Q28</f>
        <v>21183.749571179054</v>
      </c>
      <c r="F97" s="1003">
        <f t="shared" ref="F97:F102" si="64">Q6</f>
        <v>2897.9369413372947</v>
      </c>
      <c r="G97" s="453">
        <v>2023</v>
      </c>
    </row>
    <row r="98" spans="3:7" x14ac:dyDescent="0.35">
      <c r="C98" s="74" t="s">
        <v>270</v>
      </c>
      <c r="D98" t="s">
        <v>268</v>
      </c>
      <c r="E98" s="1008">
        <f t="shared" ref="E98:E102" si="65">Q29</f>
        <v>6647.9318461487073</v>
      </c>
      <c r="F98" s="1003">
        <f t="shared" si="64"/>
        <v>2683.3284796753874</v>
      </c>
      <c r="G98" s="453">
        <v>2023</v>
      </c>
    </row>
    <row r="99" spans="3:7" x14ac:dyDescent="0.35">
      <c r="C99" s="74" t="s">
        <v>271</v>
      </c>
      <c r="D99" t="s">
        <v>268</v>
      </c>
      <c r="E99" s="1009">
        <f t="shared" si="65"/>
        <v>302.09518099510825</v>
      </c>
      <c r="F99" s="1001">
        <f t="shared" si="64"/>
        <v>131.26473492305095</v>
      </c>
      <c r="G99" s="453">
        <v>2023</v>
      </c>
    </row>
    <row r="100" spans="3:7" x14ac:dyDescent="0.35">
      <c r="C100" s="74" t="s">
        <v>272</v>
      </c>
      <c r="D100" t="s">
        <v>268</v>
      </c>
      <c r="E100" s="1010">
        <f t="shared" si="65"/>
        <v>322.46191708426198</v>
      </c>
      <c r="F100" s="1001">
        <f t="shared" si="64"/>
        <v>235.75158222621704</v>
      </c>
      <c r="G100" s="453">
        <v>2023</v>
      </c>
    </row>
    <row r="101" spans="3:7" x14ac:dyDescent="0.35">
      <c r="C101" s="74" t="s">
        <v>273</v>
      </c>
      <c r="D101" t="s">
        <v>268</v>
      </c>
      <c r="E101" s="1011">
        <f t="shared" si="65"/>
        <v>1270.8265252994058</v>
      </c>
      <c r="F101" s="1001">
        <f t="shared" si="64"/>
        <v>159.4265252994058</v>
      </c>
      <c r="G101" s="453">
        <v>2023</v>
      </c>
    </row>
    <row r="102" spans="3:7" x14ac:dyDescent="0.35">
      <c r="C102" s="74" t="s">
        <v>274</v>
      </c>
      <c r="D102" t="s">
        <v>268</v>
      </c>
      <c r="E102" s="1006">
        <f t="shared" si="65"/>
        <v>150</v>
      </c>
      <c r="F102" s="1001">
        <f t="shared" si="64"/>
        <v>64.2</v>
      </c>
      <c r="G102" s="453">
        <v>2023</v>
      </c>
    </row>
    <row r="103" spans="3:7" x14ac:dyDescent="0.35">
      <c r="C103" s="74" t="s">
        <v>276</v>
      </c>
      <c r="D103" t="s">
        <v>268</v>
      </c>
      <c r="E103" s="1008">
        <f>Q35</f>
        <v>1943.1744906299998</v>
      </c>
      <c r="F103" s="1001">
        <f>Q13</f>
        <v>0</v>
      </c>
      <c r="G103" s="453">
        <v>2023</v>
      </c>
    </row>
    <row r="104" spans="3:7" x14ac:dyDescent="0.35">
      <c r="C104" s="74" t="s">
        <v>275</v>
      </c>
      <c r="D104" t="s">
        <v>268</v>
      </c>
      <c r="E104" s="1008">
        <f>Q34</f>
        <v>8743.2079696844066</v>
      </c>
      <c r="F104" s="1001">
        <f>Q12</f>
        <v>1496.2720677097618</v>
      </c>
      <c r="G104" s="453">
        <v>2023</v>
      </c>
    </row>
    <row r="105" spans="3:7" x14ac:dyDescent="0.35">
      <c r="C105" s="99" t="s">
        <v>324</v>
      </c>
      <c r="D105" s="100" t="s">
        <v>268</v>
      </c>
      <c r="E105" s="1012" t="s">
        <v>325</v>
      </c>
      <c r="F105" s="1013" t="s">
        <v>325</v>
      </c>
      <c r="G105" s="457">
        <v>2023</v>
      </c>
    </row>
    <row r="106" spans="3:7" x14ac:dyDescent="0.35">
      <c r="C106" s="999" t="s">
        <v>277</v>
      </c>
      <c r="D106" s="1028"/>
      <c r="E106" s="1029">
        <f>SUM(E95:E105)</f>
        <v>43615.944402865156</v>
      </c>
      <c r="F106" s="1250">
        <f>SUM(F95:F105)</f>
        <v>8090.2799009609189</v>
      </c>
      <c r="G106" s="1030"/>
    </row>
    <row r="107" spans="3:7" x14ac:dyDescent="0.35">
      <c r="C107" s="72" t="s">
        <v>326</v>
      </c>
      <c r="D107" s="29"/>
      <c r="E107" s="1290">
        <f>E95+E97+E99+E100+E101+E103+E104</f>
        <v>35678.314504786445</v>
      </c>
      <c r="F107" s="1031">
        <f>F95+F97+F99+F100+F101+F103+F104</f>
        <v>5256.1343693388517</v>
      </c>
      <c r="G107" s="530"/>
    </row>
    <row r="108" spans="3:7" x14ac:dyDescent="0.35">
      <c r="C108" s="99" t="s">
        <v>327</v>
      </c>
      <c r="D108" s="33"/>
      <c r="E108" s="1016">
        <f>E106-E107</f>
        <v>7937.6298980787105</v>
      </c>
      <c r="F108" s="1251">
        <f>F106-F107</f>
        <v>2834.1455316220672</v>
      </c>
      <c r="G108" s="457"/>
    </row>
    <row r="110" spans="3:7" x14ac:dyDescent="0.35">
      <c r="C110" s="1026" t="s">
        <v>328</v>
      </c>
      <c r="D110" s="1027"/>
      <c r="E110" s="999" t="s">
        <v>262</v>
      </c>
      <c r="F110" s="1041" t="s">
        <v>329</v>
      </c>
      <c r="G110" s="1028" t="s">
        <v>263</v>
      </c>
    </row>
    <row r="111" spans="3:7" x14ac:dyDescent="0.35">
      <c r="C111" s="72" t="s">
        <v>330</v>
      </c>
      <c r="D111" s="29" t="s">
        <v>331</v>
      </c>
      <c r="E111" s="395">
        <f t="shared" ref="E111:E117" si="66">-(E14-Q14)/E14</f>
        <v>0.19399323074613856</v>
      </c>
      <c r="F111" s="395">
        <f t="shared" ref="F111:F117" si="67">-(E14-K14)/E14</f>
        <v>-3.3224398105445287E-2</v>
      </c>
      <c r="G111" s="351">
        <f t="shared" ref="G111:G117" si="68">-(K14-Q14)/K14</f>
        <v>0.23502623401574654</v>
      </c>
    </row>
    <row r="112" spans="3:7" x14ac:dyDescent="0.35">
      <c r="C112" s="437" t="s">
        <v>278</v>
      </c>
      <c r="D112" t="s">
        <v>268</v>
      </c>
      <c r="E112" s="432">
        <f t="shared" si="66"/>
        <v>0.18674640875200763</v>
      </c>
      <c r="F112" s="395">
        <f t="shared" si="67"/>
        <v>-3.433913411080914E-2</v>
      </c>
      <c r="G112" s="351">
        <f t="shared" si="68"/>
        <v>0.22894739827655627</v>
      </c>
    </row>
    <row r="113" spans="3:7" x14ac:dyDescent="0.35">
      <c r="C113" s="437" t="s">
        <v>279</v>
      </c>
      <c r="D113" t="s">
        <v>268</v>
      </c>
      <c r="E113" s="138">
        <f t="shared" si="66"/>
        <v>0.16630956405769995</v>
      </c>
      <c r="F113" s="139">
        <f t="shared" si="67"/>
        <v>3.6558187655572733E-3</v>
      </c>
      <c r="G113" s="140">
        <f t="shared" si="68"/>
        <v>0.16206127862856218</v>
      </c>
    </row>
    <row r="114" spans="3:7" x14ac:dyDescent="0.35">
      <c r="C114" s="437" t="s">
        <v>280</v>
      </c>
      <c r="D114" t="s">
        <v>268</v>
      </c>
      <c r="E114" s="138">
        <f t="shared" si="66"/>
        <v>0.1430312546265515</v>
      </c>
      <c r="F114" s="139">
        <f t="shared" si="67"/>
        <v>1.5967307604722893E-2</v>
      </c>
      <c r="G114" s="140">
        <f t="shared" si="68"/>
        <v>0.12506696433116399</v>
      </c>
    </row>
    <row r="115" spans="3:7" x14ac:dyDescent="0.35">
      <c r="C115" s="437" t="s">
        <v>281</v>
      </c>
      <c r="D115" t="s">
        <v>268</v>
      </c>
      <c r="E115" s="138">
        <f t="shared" si="66"/>
        <v>5.2906247794367665E-2</v>
      </c>
      <c r="F115" s="139">
        <f t="shared" si="67"/>
        <v>-5.3234484358268309E-2</v>
      </c>
      <c r="G115" s="140">
        <f t="shared" si="68"/>
        <v>0.11210878554305204</v>
      </c>
    </row>
    <row r="116" spans="3:7" x14ac:dyDescent="0.35">
      <c r="C116" s="437" t="s">
        <v>282</v>
      </c>
      <c r="D116" t="s">
        <v>268</v>
      </c>
      <c r="E116" s="138">
        <f t="shared" si="66"/>
        <v>-2.3613763298095513E-3</v>
      </c>
      <c r="F116" s="139">
        <f t="shared" si="67"/>
        <v>-6.1197342871748626E-2</v>
      </c>
      <c r="G116" s="140">
        <f t="shared" si="68"/>
        <v>6.2671282505649531E-2</v>
      </c>
    </row>
    <row r="117" spans="3:7" ht="13.5" customHeight="1" x14ac:dyDescent="0.35">
      <c r="C117" s="437" t="s">
        <v>293</v>
      </c>
      <c r="D117" t="s">
        <v>268</v>
      </c>
      <c r="E117" s="138">
        <f t="shared" si="66"/>
        <v>-0.38566172715787694</v>
      </c>
      <c r="F117" s="139">
        <f t="shared" si="67"/>
        <v>2.7461282257738363E-3</v>
      </c>
      <c r="G117" s="140">
        <f t="shared" si="68"/>
        <v>-0.38734415865647565</v>
      </c>
    </row>
    <row r="118" spans="3:7" x14ac:dyDescent="0.35">
      <c r="C118" s="99" t="s">
        <v>332</v>
      </c>
      <c r="D118" s="100" t="s">
        <v>268</v>
      </c>
      <c r="E118" s="1043">
        <f>-(E36-Q36)/E36</f>
        <v>0.4003926592633571</v>
      </c>
      <c r="F118" s="1036">
        <f>-(E36-K36)/E36</f>
        <v>-1.7306141977196592E-2</v>
      </c>
      <c r="G118" s="592">
        <f>-(K36-Q36)/K36</f>
        <v>0.42505486101334827</v>
      </c>
    </row>
    <row r="119" spans="3:7" x14ac:dyDescent="0.35">
      <c r="C119" s="74" t="s">
        <v>333</v>
      </c>
      <c r="D119" t="s">
        <v>334</v>
      </c>
      <c r="E119" s="1037">
        <f>AVERAGE(E14:Q14)</f>
        <v>6952.0177433012968</v>
      </c>
      <c r="F119" s="1035">
        <f>AVERAGE(E14:K14)</f>
        <v>6788.6043854085492</v>
      </c>
      <c r="G119" s="1040">
        <f>AVERAGE(K14:Q14)</f>
        <v>7048.0801381978363</v>
      </c>
    </row>
    <row r="120" spans="3:7" x14ac:dyDescent="0.35">
      <c r="C120" s="74" t="s">
        <v>335</v>
      </c>
      <c r="D120" t="s">
        <v>268</v>
      </c>
      <c r="E120" s="1037">
        <f>AVERAGE(E36:Q36)</f>
        <v>33191.832311874183</v>
      </c>
      <c r="F120" s="1035">
        <f>AVERAGE(E15:K15)</f>
        <v>5567.935697349435</v>
      </c>
      <c r="G120" s="1040">
        <f>AVERAGE(K15:Q15)</f>
        <v>5703.9421429809254</v>
      </c>
    </row>
    <row r="121" spans="3:7" x14ac:dyDescent="0.35">
      <c r="C121" s="72" t="s">
        <v>336</v>
      </c>
      <c r="D121" s="73" t="s">
        <v>337</v>
      </c>
      <c r="E121" s="432"/>
      <c r="F121" s="395">
        <f>-(E119-F119)/E119</f>
        <v>-2.3505889070868181E-2</v>
      </c>
      <c r="G121" s="351">
        <v>-5.8473275940743419E-2</v>
      </c>
    </row>
    <row r="122" spans="3:7" x14ac:dyDescent="0.35">
      <c r="C122" s="99" t="s">
        <v>338</v>
      </c>
      <c r="D122" s="100" t="s">
        <v>268</v>
      </c>
      <c r="E122" s="141"/>
      <c r="F122" s="142">
        <f>-(E120-F120)/E120</f>
        <v>-0.83224982444378226</v>
      </c>
      <c r="G122" s="143">
        <f>-(F120-G120)/F120</f>
        <v>2.4426727071620993E-2</v>
      </c>
    </row>
    <row r="123" spans="3:7" x14ac:dyDescent="0.35">
      <c r="C123" s="99" t="s">
        <v>292</v>
      </c>
      <c r="D123" s="100" t="s">
        <v>337</v>
      </c>
      <c r="E123" s="138">
        <f>AVERAGE(E48:Q48)</f>
        <v>0.21069232315157913</v>
      </c>
      <c r="F123" s="139">
        <f>AVERAGE(E48:K48)</f>
        <v>0.22088706694049479</v>
      </c>
      <c r="G123" s="140">
        <f>AVERAGE(K48:Q48)</f>
        <v>0.20145857339906392</v>
      </c>
    </row>
    <row r="124" spans="3:7" x14ac:dyDescent="0.35">
      <c r="C124" s="1039" t="s">
        <v>339</v>
      </c>
      <c r="D124" s="1042"/>
      <c r="E124" s="999" t="s">
        <v>340</v>
      </c>
      <c r="F124" s="1041" t="s">
        <v>341</v>
      </c>
      <c r="G124" s="1028" t="s">
        <v>342</v>
      </c>
    </row>
    <row r="125" spans="3:7" x14ac:dyDescent="0.35">
      <c r="C125" s="72" t="s">
        <v>343</v>
      </c>
      <c r="D125" s="73" t="s">
        <v>337</v>
      </c>
      <c r="E125" s="432">
        <f t="shared" ref="E125:E131" si="69">-(E14-H14)/E14</f>
        <v>2.5288139254790353E-2</v>
      </c>
      <c r="F125" s="395">
        <f t="shared" ref="F125:F131" si="70">-(H14-M14)/H14</f>
        <v>7.0367426382964102E-2</v>
      </c>
      <c r="G125" s="351">
        <f t="shared" ref="G125:G131" si="71">-(M14-Q14)/M14</f>
        <v>8.7985348984562686E-2</v>
      </c>
    </row>
    <row r="126" spans="3:7" x14ac:dyDescent="0.35">
      <c r="C126" s="437" t="s">
        <v>278</v>
      </c>
      <c r="D126" t="s">
        <v>268</v>
      </c>
      <c r="E126" s="432">
        <f t="shared" si="69"/>
        <v>2.9950276871719844E-2</v>
      </c>
      <c r="F126" s="395">
        <f t="shared" si="70"/>
        <v>4.5083560512993642E-2</v>
      </c>
      <c r="G126" s="351">
        <f t="shared" si="71"/>
        <v>0.10253059850176648</v>
      </c>
    </row>
    <row r="127" spans="3:7" x14ac:dyDescent="0.35">
      <c r="C127" s="437" t="s">
        <v>279</v>
      </c>
      <c r="D127" t="s">
        <v>268</v>
      </c>
      <c r="E127" s="138">
        <f t="shared" si="69"/>
        <v>3.5281521311351337E-2</v>
      </c>
      <c r="F127" s="139">
        <f t="shared" si="70"/>
        <v>5.512897575488044E-2</v>
      </c>
      <c r="G127" s="140">
        <f t="shared" si="71"/>
        <v>6.7701431215633434E-2</v>
      </c>
    </row>
    <row r="128" spans="3:7" x14ac:dyDescent="0.35">
      <c r="C128" s="437" t="s">
        <v>280</v>
      </c>
      <c r="D128" t="s">
        <v>268</v>
      </c>
      <c r="E128" s="138">
        <f t="shared" si="69"/>
        <v>4.7237692338920514E-2</v>
      </c>
      <c r="F128" s="139">
        <f t="shared" si="70"/>
        <v>6.3036552567360699E-3</v>
      </c>
      <c r="G128" s="140">
        <f t="shared" si="71"/>
        <v>8.4635439511827365E-2</v>
      </c>
    </row>
    <row r="129" spans="3:19" x14ac:dyDescent="0.35">
      <c r="C129" s="437" t="s">
        <v>281</v>
      </c>
      <c r="D129" t="s">
        <v>268</v>
      </c>
      <c r="E129" s="138">
        <f t="shared" si="69"/>
        <v>9.3871784255021955E-3</v>
      </c>
      <c r="F129" s="139">
        <f t="shared" si="70"/>
        <v>8.2564586477510443E-2</v>
      </c>
      <c r="G129" s="140">
        <f t="shared" si="71"/>
        <v>-3.6441464714632679E-2</v>
      </c>
    </row>
    <row r="130" spans="3:19" x14ac:dyDescent="0.35">
      <c r="C130" s="437" t="s">
        <v>282</v>
      </c>
      <c r="D130" t="s">
        <v>268</v>
      </c>
      <c r="E130" s="138">
        <f t="shared" si="69"/>
        <v>1.0996042319978836E-2</v>
      </c>
      <c r="F130" s="139">
        <f t="shared" si="70"/>
        <v>4.9573277202400165E-2</v>
      </c>
      <c r="G130" s="140">
        <f t="shared" si="71"/>
        <v>-5.9819943965466298E-2</v>
      </c>
    </row>
    <row r="131" spans="3:19" x14ac:dyDescent="0.35">
      <c r="C131" s="437" t="s">
        <v>293</v>
      </c>
      <c r="D131" t="s">
        <v>268</v>
      </c>
      <c r="E131" s="141">
        <f t="shared" si="69"/>
        <v>1.7967863572382493E-2</v>
      </c>
      <c r="F131" s="142">
        <f t="shared" si="70"/>
        <v>-2.7146598744104428E-2</v>
      </c>
      <c r="G131" s="143">
        <f t="shared" si="71"/>
        <v>-0.37966526043360377</v>
      </c>
    </row>
    <row r="132" spans="3:19" x14ac:dyDescent="0.35">
      <c r="C132" s="99" t="s">
        <v>332</v>
      </c>
      <c r="D132" s="100" t="s">
        <v>268</v>
      </c>
      <c r="E132" s="138">
        <f>-(E36-H36)/E36</f>
        <v>3.0523134060561865E-2</v>
      </c>
      <c r="F132" s="139">
        <f>-(H36-M36)/H36</f>
        <v>0.14630440580667076</v>
      </c>
      <c r="G132" s="140">
        <f>-(M36-Q36)/M36</f>
        <v>0.18547423176639041</v>
      </c>
    </row>
    <row r="133" spans="3:19" x14ac:dyDescent="0.35">
      <c r="C133" s="72" t="s">
        <v>333</v>
      </c>
      <c r="D133" s="73" t="s">
        <v>334</v>
      </c>
      <c r="E133" s="1032">
        <f>AVERAGE(E14:H14)</f>
        <v>7067.4149251076569</v>
      </c>
      <c r="F133" s="1033">
        <f>AVERAGE(H14:M14)</f>
        <v>6742.1857560200215</v>
      </c>
      <c r="G133" s="1034">
        <f>AVERAGE(M14:Q14)</f>
        <v>7176.5299561003776</v>
      </c>
    </row>
    <row r="134" spans="3:19" x14ac:dyDescent="0.35">
      <c r="C134" s="99" t="s">
        <v>335</v>
      </c>
      <c r="D134" s="100" t="s">
        <v>268</v>
      </c>
      <c r="E134" s="1037">
        <f>AVERAGE(E36:H36)</f>
        <v>31996.797214233717</v>
      </c>
      <c r="F134" s="1035">
        <f>AVERAGE(H36:M36)</f>
        <v>31087.928681145626</v>
      </c>
      <c r="G134" s="1038">
        <f>AVERAGE(M36:Q36)</f>
        <v>36813.42798046911</v>
      </c>
    </row>
    <row r="135" spans="3:19" x14ac:dyDescent="0.35">
      <c r="C135" s="72" t="s">
        <v>336</v>
      </c>
      <c r="D135" s="73" t="s">
        <v>337</v>
      </c>
      <c r="E135" s="72"/>
      <c r="F135" s="395">
        <f>-(E133-F133)/E133</f>
        <v>-4.6018122967738627E-2</v>
      </c>
      <c r="G135" s="351">
        <f>-(F133-G133)/F133</f>
        <v>6.4421867892401966E-2</v>
      </c>
    </row>
    <row r="136" spans="3:19" x14ac:dyDescent="0.35">
      <c r="C136" s="99" t="s">
        <v>338</v>
      </c>
      <c r="D136" s="100" t="s">
        <v>268</v>
      </c>
      <c r="E136" s="99"/>
      <c r="F136" s="142">
        <f>-(E134-F134)/E134</f>
        <v>-2.8404984630267378E-2</v>
      </c>
      <c r="G136" s="143">
        <f>-(F134-G134)/F134</f>
        <v>0.1841711410897541</v>
      </c>
    </row>
    <row r="137" spans="3:19" x14ac:dyDescent="0.35">
      <c r="C137" s="99" t="s">
        <v>292</v>
      </c>
      <c r="D137" s="100" t="s">
        <v>337</v>
      </c>
      <c r="E137" s="99"/>
      <c r="F137" s="142"/>
      <c r="G137" s="143"/>
    </row>
    <row r="138" spans="3:19" x14ac:dyDescent="0.35">
      <c r="C138" s="999" t="s">
        <v>339</v>
      </c>
      <c r="D138" s="1028"/>
      <c r="E138" s="999" t="s">
        <v>340</v>
      </c>
      <c r="F138" s="1041" t="s">
        <v>341</v>
      </c>
      <c r="G138" s="1028" t="s">
        <v>342</v>
      </c>
    </row>
    <row r="140" spans="3:19" x14ac:dyDescent="0.35">
      <c r="C140" s="35" t="s">
        <v>344</v>
      </c>
    </row>
    <row r="141" spans="3:19" x14ac:dyDescent="0.35">
      <c r="C141" s="35"/>
      <c r="E141" s="985">
        <v>2011</v>
      </c>
      <c r="F141" s="986">
        <v>2012</v>
      </c>
      <c r="G141" s="986">
        <v>2013</v>
      </c>
      <c r="H141" s="986">
        <v>2014</v>
      </c>
      <c r="I141" s="986">
        <v>2015</v>
      </c>
      <c r="J141" s="986">
        <v>2016</v>
      </c>
      <c r="K141" s="987">
        <v>2017</v>
      </c>
      <c r="L141" s="987">
        <v>2018</v>
      </c>
      <c r="M141" s="987">
        <v>2019</v>
      </c>
      <c r="N141" s="987">
        <v>2020</v>
      </c>
      <c r="O141" s="987">
        <v>2021</v>
      </c>
      <c r="P141" s="987">
        <v>2022</v>
      </c>
      <c r="Q141" s="988">
        <v>2023</v>
      </c>
      <c r="S141" s="1047" t="s">
        <v>262</v>
      </c>
    </row>
    <row r="142" spans="3:19" x14ac:dyDescent="0.35">
      <c r="C142" s="260" t="s">
        <v>345</v>
      </c>
      <c r="D142" s="19"/>
      <c r="E142" s="1050">
        <v>89.588999999999999</v>
      </c>
      <c r="F142" s="547">
        <v>90.22</v>
      </c>
      <c r="G142" s="547">
        <v>90.686000000000007</v>
      </c>
      <c r="H142" s="547">
        <v>90.888000000000005</v>
      </c>
      <c r="I142" s="547">
        <v>90.792000000000002</v>
      </c>
      <c r="J142" s="547">
        <v>90.831000000000003</v>
      </c>
      <c r="K142" s="547">
        <v>92.031999999999996</v>
      </c>
      <c r="L142" s="547">
        <v>92.465000000000003</v>
      </c>
      <c r="M142" s="547">
        <v>93.215000000000003</v>
      </c>
      <c r="N142" s="547">
        <v>100</v>
      </c>
      <c r="O142" s="547">
        <v>99.828000000000003</v>
      </c>
      <c r="P142" s="547">
        <v>101.687</v>
      </c>
      <c r="Q142" s="1051">
        <v>104.904</v>
      </c>
      <c r="S142" s="1046">
        <f>Q142/E142-1</f>
        <v>0.17094732612262664</v>
      </c>
    </row>
    <row r="143" spans="3:19" x14ac:dyDescent="0.35">
      <c r="C143" s="438" t="s">
        <v>346</v>
      </c>
      <c r="D143" s="100"/>
      <c r="E143" s="535"/>
      <c r="F143" s="536">
        <f>F142/E142-1</f>
        <v>7.0432754021141353E-3</v>
      </c>
      <c r="G143" s="536">
        <f t="shared" ref="G143:Q143" si="72">G142/F142-1</f>
        <v>5.1651518510309469E-3</v>
      </c>
      <c r="H143" s="536">
        <f t="shared" si="72"/>
        <v>2.2274662020598246E-3</v>
      </c>
      <c r="I143" s="536">
        <f t="shared" si="72"/>
        <v>-1.0562450488513786E-3</v>
      </c>
      <c r="J143" s="536">
        <f t="shared" si="72"/>
        <v>4.2955326460480947E-4</v>
      </c>
      <c r="K143" s="536">
        <f t="shared" si="72"/>
        <v>1.3222358005526624E-2</v>
      </c>
      <c r="L143" s="536">
        <f t="shared" si="72"/>
        <v>4.7048852573019495E-3</v>
      </c>
      <c r="M143" s="536">
        <f t="shared" si="72"/>
        <v>8.1111772021846829E-3</v>
      </c>
      <c r="N143" s="536">
        <f t="shared" si="72"/>
        <v>7.2788714262725929E-2</v>
      </c>
      <c r="O143" s="536">
        <f t="shared" si="72"/>
        <v>-1.7199999999999438E-3</v>
      </c>
      <c r="P143" s="536">
        <f t="shared" si="72"/>
        <v>1.8622029891413261E-2</v>
      </c>
      <c r="Q143" s="495">
        <f t="shared" si="72"/>
        <v>3.163629569168136E-2</v>
      </c>
    </row>
    <row r="144" spans="3:19" x14ac:dyDescent="0.35">
      <c r="C144" s="236" t="s">
        <v>347</v>
      </c>
      <c r="D144" s="64"/>
      <c r="E144" s="179"/>
      <c r="F144" s="1048">
        <v>3.7383117762125107E-2</v>
      </c>
      <c r="G144" s="1048">
        <v>7.6293683455500805E-2</v>
      </c>
      <c r="H144" s="1048">
        <v>-0.11355606810900487</v>
      </c>
      <c r="I144" s="1048">
        <v>-5.1965914281038361E-2</v>
      </c>
      <c r="J144" s="1048">
        <v>-3.1839822206921276E-2</v>
      </c>
      <c r="K144" s="1048">
        <v>3.8843229407848012E-2</v>
      </c>
      <c r="L144" s="1048">
        <v>6.4424986969837672E-2</v>
      </c>
      <c r="M144" s="1048">
        <v>6.2523577900115423E-2</v>
      </c>
      <c r="N144" s="1048">
        <v>-0.14358450898509922</v>
      </c>
      <c r="O144" s="1048">
        <v>5.8636087829557981E-2</v>
      </c>
      <c r="P144" s="1048">
        <v>0.11652385036917634</v>
      </c>
      <c r="Q144" s="1049">
        <v>8.9689939992697365E-2</v>
      </c>
    </row>
    <row r="145" spans="3:20" x14ac:dyDescent="0.35">
      <c r="C145" s="541"/>
    </row>
    <row r="146" spans="3:20" x14ac:dyDescent="0.35">
      <c r="C146" s="35" t="s">
        <v>348</v>
      </c>
    </row>
    <row r="147" spans="3:20" x14ac:dyDescent="0.35">
      <c r="C147" s="250"/>
      <c r="E147" s="985">
        <v>2011</v>
      </c>
      <c r="F147" s="986">
        <v>2012</v>
      </c>
      <c r="G147" s="986">
        <v>2013</v>
      </c>
      <c r="H147" s="986">
        <v>2014</v>
      </c>
      <c r="I147" s="986">
        <v>2015</v>
      </c>
      <c r="J147" s="986">
        <v>2016</v>
      </c>
      <c r="K147" s="987">
        <v>2017</v>
      </c>
      <c r="L147" s="987">
        <v>2018</v>
      </c>
      <c r="M147" s="987">
        <v>2019</v>
      </c>
      <c r="N147" s="987">
        <v>2020</v>
      </c>
      <c r="O147" s="987">
        <v>2021</v>
      </c>
      <c r="P147" s="987">
        <v>2022</v>
      </c>
      <c r="Q147" s="988">
        <v>2023</v>
      </c>
      <c r="S147" s="1047" t="s">
        <v>262</v>
      </c>
      <c r="T147" s="1047" t="s">
        <v>263</v>
      </c>
    </row>
    <row r="148" spans="3:20" x14ac:dyDescent="0.35">
      <c r="C148" s="260" t="s">
        <v>345</v>
      </c>
      <c r="D148" s="19"/>
      <c r="E148" s="201">
        <v>89.588999999999999</v>
      </c>
      <c r="F148" s="69">
        <v>90.22</v>
      </c>
      <c r="G148" s="69">
        <v>90.686000000000007</v>
      </c>
      <c r="H148" s="69">
        <v>90.888000000000005</v>
      </c>
      <c r="I148" s="69">
        <v>90.792000000000002</v>
      </c>
      <c r="J148" s="69">
        <v>90.831000000000003</v>
      </c>
      <c r="K148" s="69">
        <v>92.031999999999996</v>
      </c>
      <c r="L148" s="69">
        <v>92.465000000000003</v>
      </c>
      <c r="M148" s="69">
        <v>93.215000000000003</v>
      </c>
      <c r="N148" s="69">
        <v>100</v>
      </c>
      <c r="O148" s="69">
        <v>99.828000000000003</v>
      </c>
      <c r="P148" s="69">
        <v>101.687</v>
      </c>
      <c r="Q148" s="1248">
        <v>104.904</v>
      </c>
      <c r="S148" s="1046">
        <f>Q154/E154-1</f>
        <v>1.9681418719170063E-2</v>
      </c>
      <c r="T148" s="1246">
        <f>Q154/L154-1</f>
        <v>1.1655476114952323E-2</v>
      </c>
    </row>
    <row r="149" spans="3:20" x14ac:dyDescent="0.35">
      <c r="C149" s="74" t="s">
        <v>349</v>
      </c>
      <c r="E149" s="1249">
        <f t="shared" ref="E149:Q149" si="73">E14</f>
        <v>6703.2732204123695</v>
      </c>
      <c r="F149" s="532">
        <f t="shared" si="73"/>
        <v>7084.3849120119658</v>
      </c>
      <c r="G149" s="532">
        <f t="shared" si="73"/>
        <v>7609.2150409332298</v>
      </c>
      <c r="H149" s="532">
        <f t="shared" si="73"/>
        <v>6872.7865270730645</v>
      </c>
      <c r="I149" s="532">
        <f t="shared" si="73"/>
        <v>6518.0286542285266</v>
      </c>
      <c r="J149" s="532">
        <f t="shared" si="73"/>
        <v>6251.9813408728696</v>
      </c>
      <c r="K149" s="532">
        <f t="shared" si="73"/>
        <v>6480.5610023278186</v>
      </c>
      <c r="L149" s="532">
        <f t="shared" si="73"/>
        <v>6973.3501845551436</v>
      </c>
      <c r="M149" s="532">
        <f t="shared" si="73"/>
        <v>7356.4068270627058</v>
      </c>
      <c r="N149" s="532">
        <f t="shared" si="73"/>
        <v>6345.255908555413</v>
      </c>
      <c r="O149" s="532">
        <f t="shared" si="73"/>
        <v>6790.5243644145994</v>
      </c>
      <c r="P149" s="532">
        <f t="shared" si="73"/>
        <v>7386.7998314549304</v>
      </c>
      <c r="Q149" s="1015">
        <f t="shared" si="73"/>
        <v>8003.6628490142375</v>
      </c>
      <c r="S149" s="1046">
        <f>Q155/E155-1</f>
        <v>-0.10080818811818792</v>
      </c>
      <c r="T149" s="1046">
        <f>Q155/L155-1</f>
        <v>-8.9852881030808351E-2</v>
      </c>
    </row>
    <row r="150" spans="3:20" x14ac:dyDescent="0.35">
      <c r="C150" s="74" t="s">
        <v>350</v>
      </c>
      <c r="E150" s="1249">
        <f t="shared" ref="E150:Q150" si="74">E18</f>
        <v>5052.9991444954467</v>
      </c>
      <c r="F150" s="532">
        <f t="shared" si="74"/>
        <v>5285.0389343174038</v>
      </c>
      <c r="G150" s="532">
        <f t="shared" si="74"/>
        <v>5711.7299863283642</v>
      </c>
      <c r="H150" s="532">
        <f t="shared" si="74"/>
        <v>5100.4325490487354</v>
      </c>
      <c r="I150" s="532">
        <f t="shared" si="74"/>
        <v>4803.0748500303689</v>
      </c>
      <c r="J150" s="532">
        <f t="shared" si="74"/>
        <v>4629.4353559276105</v>
      </c>
      <c r="K150" s="532">
        <f t="shared" si="74"/>
        <v>4784.0053405754607</v>
      </c>
      <c r="L150" s="532">
        <f t="shared" si="74"/>
        <v>5152.4365763335772</v>
      </c>
      <c r="M150" s="532">
        <f t="shared" si="74"/>
        <v>5521.5476533173787</v>
      </c>
      <c r="N150" s="532">
        <f t="shared" si="74"/>
        <v>4695.0664310707089</v>
      </c>
      <c r="O150" s="532">
        <f t="shared" si="74"/>
        <v>4975.6861055624058</v>
      </c>
      <c r="P150" s="532">
        <f t="shared" si="74"/>
        <v>5098.0990099028786</v>
      </c>
      <c r="Q150" s="1015">
        <f t="shared" si="74"/>
        <v>5320.3343693388506</v>
      </c>
    </row>
    <row r="151" spans="3:20" x14ac:dyDescent="0.35">
      <c r="C151" s="72" t="s">
        <v>285</v>
      </c>
      <c r="D151" s="73"/>
      <c r="E151" s="1249">
        <f t="shared" ref="E151:Q151" si="75">E22</f>
        <v>1443.3169515440493</v>
      </c>
      <c r="F151" s="532">
        <f t="shared" si="75"/>
        <v>1485.4772563797214</v>
      </c>
      <c r="G151" s="532">
        <f t="shared" si="75"/>
        <v>1638.0276446352427</v>
      </c>
      <c r="H151" s="532">
        <f t="shared" si="75"/>
        <v>1470.4038104624453</v>
      </c>
      <c r="I151" s="532">
        <f t="shared" si="75"/>
        <v>1583.9369376558334</v>
      </c>
      <c r="J151" s="532">
        <f t="shared" si="75"/>
        <v>1494.5520118362977</v>
      </c>
      <c r="K151" s="532">
        <f t="shared" si="75"/>
        <v>1447.4567863955158</v>
      </c>
      <c r="L151" s="532">
        <f t="shared" si="75"/>
        <v>1507.5986207229237</v>
      </c>
      <c r="M151" s="532">
        <f t="shared" si="75"/>
        <v>1428.7445365886481</v>
      </c>
      <c r="N151" s="532">
        <f t="shared" si="75"/>
        <v>1226.2955637508358</v>
      </c>
      <c r="O151" s="532">
        <f t="shared" si="75"/>
        <v>1219.7274168699489</v>
      </c>
      <c r="P151" s="532">
        <f t="shared" si="75"/>
        <v>971.78271308174806</v>
      </c>
      <c r="Q151" s="1015">
        <f t="shared" si="75"/>
        <v>861.92536029179496</v>
      </c>
      <c r="R151" s="532"/>
    </row>
    <row r="152" spans="3:20" x14ac:dyDescent="0.35">
      <c r="C152" s="74" t="s">
        <v>286</v>
      </c>
      <c r="E152" s="1249">
        <f t="shared" ref="E152:Q152" si="76">E23</f>
        <v>3609.682192951399</v>
      </c>
      <c r="F152" s="532">
        <f t="shared" si="76"/>
        <v>3799.5616779376828</v>
      </c>
      <c r="G152" s="532">
        <f t="shared" si="76"/>
        <v>4073.7023416931206</v>
      </c>
      <c r="H152" s="532">
        <f t="shared" si="76"/>
        <v>3630.0287385862889</v>
      </c>
      <c r="I152" s="532">
        <f t="shared" si="76"/>
        <v>3219.1379123745355</v>
      </c>
      <c r="J152" s="532">
        <f t="shared" si="76"/>
        <v>3134.8833440913122</v>
      </c>
      <c r="K152" s="532">
        <f t="shared" si="76"/>
        <v>3336.5485541799444</v>
      </c>
      <c r="L152" s="532">
        <f t="shared" si="76"/>
        <v>3644.8379556106538</v>
      </c>
      <c r="M152" s="532">
        <f t="shared" si="76"/>
        <v>4092.8031167287304</v>
      </c>
      <c r="N152" s="532">
        <f t="shared" si="76"/>
        <v>3468.7708673198736</v>
      </c>
      <c r="O152" s="532">
        <f t="shared" si="76"/>
        <v>3755.9586886924562</v>
      </c>
      <c r="P152" s="532">
        <f t="shared" si="76"/>
        <v>4126.3162968211309</v>
      </c>
      <c r="Q152" s="1015">
        <f t="shared" si="76"/>
        <v>4458.4090090470563</v>
      </c>
    </row>
    <row r="153" spans="3:20" x14ac:dyDescent="0.35">
      <c r="C153" s="99" t="s">
        <v>270</v>
      </c>
      <c r="D153" s="100"/>
      <c r="E153" s="1249">
        <f t="shared" ref="E153:Q153" si="77">E24</f>
        <v>1650.2740759169224</v>
      </c>
      <c r="F153" s="532">
        <f t="shared" si="77"/>
        <v>1799.345977694562</v>
      </c>
      <c r="G153" s="532">
        <f t="shared" si="77"/>
        <v>1897.485054604866</v>
      </c>
      <c r="H153" s="532">
        <f t="shared" si="77"/>
        <v>1772.3539780243295</v>
      </c>
      <c r="I153" s="532">
        <f t="shared" si="77"/>
        <v>1714.9538041981577</v>
      </c>
      <c r="J153" s="532">
        <f t="shared" si="77"/>
        <v>1622.5459849452591</v>
      </c>
      <c r="K153" s="532">
        <f t="shared" si="77"/>
        <v>1696.5556617523578</v>
      </c>
      <c r="L153" s="532">
        <f t="shared" si="77"/>
        <v>1820.9136082215659</v>
      </c>
      <c r="M153" s="532">
        <f t="shared" si="77"/>
        <v>1834.8591737453269</v>
      </c>
      <c r="N153" s="532">
        <f t="shared" si="77"/>
        <v>1650.1894774847046</v>
      </c>
      <c r="O153" s="532">
        <f t="shared" si="77"/>
        <v>1814.8382588521936</v>
      </c>
      <c r="P153" s="532">
        <f t="shared" si="77"/>
        <v>2288.7008215520523</v>
      </c>
      <c r="Q153" s="1015">
        <f t="shared" si="77"/>
        <v>2683.3284796753874</v>
      </c>
    </row>
    <row r="154" spans="3:20" x14ac:dyDescent="0.35">
      <c r="C154" s="764" t="s">
        <v>351</v>
      </c>
      <c r="D154" s="330"/>
      <c r="E154" s="74">
        <f>E149*($Q$148/E148)</f>
        <v>7849.1798537112727</v>
      </c>
      <c r="F154">
        <f t="shared" ref="F154:Q154" si="78">F149*($Q$148/F148)</f>
        <v>8237.4231302339085</v>
      </c>
      <c r="G154">
        <f t="shared" si="78"/>
        <v>8802.2086612493604</v>
      </c>
      <c r="H154">
        <f t="shared" si="78"/>
        <v>7932.6511512638926</v>
      </c>
      <c r="I154">
        <f t="shared" si="78"/>
        <v>7531.1401659087724</v>
      </c>
      <c r="J154">
        <f t="shared" si="78"/>
        <v>7220.638885214601</v>
      </c>
      <c r="K154">
        <f t="shared" si="78"/>
        <v>7386.9607461339256</v>
      </c>
      <c r="L154">
        <f t="shared" si="78"/>
        <v>7911.4511194567967</v>
      </c>
      <c r="M154">
        <f t="shared" si="78"/>
        <v>8278.887537265311</v>
      </c>
      <c r="N154">
        <f t="shared" si="78"/>
        <v>6656.4272583109705</v>
      </c>
      <c r="O154">
        <f t="shared" si="78"/>
        <v>7135.8052643000865</v>
      </c>
      <c r="P154">
        <f t="shared" si="78"/>
        <v>7620.4908151381005</v>
      </c>
      <c r="Q154" s="31">
        <f t="shared" si="78"/>
        <v>8003.6628490142375</v>
      </c>
    </row>
    <row r="155" spans="3:20" x14ac:dyDescent="0.35">
      <c r="C155" s="1210" t="s">
        <v>352</v>
      </c>
      <c r="D155" s="1057"/>
      <c r="E155" s="74">
        <f>E150*($Q$148/E148)</f>
        <v>5916.7958371468631</v>
      </c>
      <c r="F155">
        <f t="shared" ref="F155:Q155" si="79">F150*($Q$148/F148)</f>
        <v>6145.2197336026702</v>
      </c>
      <c r="G155">
        <f t="shared" si="79"/>
        <v>6607.2306914605415</v>
      </c>
      <c r="H155">
        <f t="shared" si="79"/>
        <v>5886.9793165809406</v>
      </c>
      <c r="I155">
        <f t="shared" si="79"/>
        <v>5549.6273247377057</v>
      </c>
      <c r="J155">
        <f t="shared" si="79"/>
        <v>5346.7019693522034</v>
      </c>
      <c r="K155">
        <f t="shared" si="79"/>
        <v>5453.117353178548</v>
      </c>
      <c r="L155">
        <f t="shared" si="79"/>
        <v>5845.5762353722766</v>
      </c>
      <c r="M155">
        <f t="shared" si="79"/>
        <v>6213.9401922824245</v>
      </c>
      <c r="N155">
        <f t="shared" si="79"/>
        <v>4925.3124888504162</v>
      </c>
      <c r="O155">
        <f t="shared" si="79"/>
        <v>5228.6870939808323</v>
      </c>
      <c r="P155">
        <f t="shared" si="79"/>
        <v>5259.3839776456343</v>
      </c>
      <c r="Q155" s="31">
        <f t="shared" si="79"/>
        <v>5320.3343693388506</v>
      </c>
      <c r="S155" s="1270" t="s">
        <v>262</v>
      </c>
      <c r="T155" s="1270" t="s">
        <v>263</v>
      </c>
    </row>
    <row r="156" spans="3:20" x14ac:dyDescent="0.35">
      <c r="C156" s="72" t="s">
        <v>353</v>
      </c>
      <c r="E156" s="74">
        <f>E151*($Q$148/E148)</f>
        <v>1690.0481251579652</v>
      </c>
      <c r="F156">
        <f t="shared" ref="F156:Q156" si="80">F151*($Q$148/F148)</f>
        <v>1727.2501230687021</v>
      </c>
      <c r="G156">
        <f t="shared" si="80"/>
        <v>1894.842114910962</v>
      </c>
      <c r="H156">
        <f t="shared" si="80"/>
        <v>1697.1573951759567</v>
      </c>
      <c r="I156">
        <f t="shared" si="80"/>
        <v>1830.1317352613394</v>
      </c>
      <c r="J156">
        <f t="shared" si="80"/>
        <v>1726.1120570033904</v>
      </c>
      <c r="K156">
        <f t="shared" si="80"/>
        <v>1649.9044541033029</v>
      </c>
      <c r="L156">
        <f t="shared" si="80"/>
        <v>1710.4107035993898</v>
      </c>
      <c r="M156">
        <f t="shared" si="80"/>
        <v>1607.9066337638312</v>
      </c>
      <c r="N156">
        <f t="shared" si="80"/>
        <v>1286.4330981971766</v>
      </c>
      <c r="O156">
        <f t="shared" si="80"/>
        <v>1281.7474550158784</v>
      </c>
      <c r="P156">
        <f t="shared" si="80"/>
        <v>1002.5263183408666</v>
      </c>
      <c r="Q156" s="31">
        <f t="shared" si="80"/>
        <v>861.92536029179496</v>
      </c>
      <c r="S156" s="1264">
        <f>Q156/E156-1</f>
        <v>-0.48999951690060151</v>
      </c>
      <c r="T156" s="1265">
        <f>Q156/K156-1</f>
        <v>-0.47759074281653613</v>
      </c>
    </row>
    <row r="157" spans="3:20" x14ac:dyDescent="0.35">
      <c r="C157" s="74" t="s">
        <v>354</v>
      </c>
      <c r="E157" s="74">
        <f>E152*($Q$148/E148)</f>
        <v>4226.7477119888999</v>
      </c>
      <c r="F157">
        <f t="shared" ref="F157:Q157" si="81">F152*($Q$148/F148)</f>
        <v>4417.969610533969</v>
      </c>
      <c r="G157">
        <f t="shared" si="81"/>
        <v>4712.3885765495788</v>
      </c>
      <c r="H157">
        <f t="shared" si="81"/>
        <v>4189.8219214049823</v>
      </c>
      <c r="I157">
        <f t="shared" si="81"/>
        <v>3719.4955894763661</v>
      </c>
      <c r="J157">
        <f t="shared" si="81"/>
        <v>3620.5899123488125</v>
      </c>
      <c r="K157">
        <f t="shared" si="81"/>
        <v>3803.212899075244</v>
      </c>
      <c r="L157">
        <f t="shared" si="81"/>
        <v>4135.1655317728864</v>
      </c>
      <c r="M157">
        <f t="shared" si="81"/>
        <v>4606.0335585185931</v>
      </c>
      <c r="N157">
        <f t="shared" si="81"/>
        <v>3638.8793906532401</v>
      </c>
      <c r="O157">
        <f t="shared" si="81"/>
        <v>3946.9396389649537</v>
      </c>
      <c r="P157">
        <f t="shared" si="81"/>
        <v>4256.8576593047674</v>
      </c>
      <c r="Q157" s="31">
        <f t="shared" si="81"/>
        <v>4458.4090090470563</v>
      </c>
      <c r="S157" s="1266">
        <f>Q157/E157-1</f>
        <v>5.4808404201903027E-2</v>
      </c>
      <c r="T157" s="1267">
        <f t="shared" ref="T157:T167" si="82">Q157/K157-1</f>
        <v>0.17227437100119336</v>
      </c>
    </row>
    <row r="158" spans="3:20" x14ac:dyDescent="0.35">
      <c r="C158" s="99" t="s">
        <v>355</v>
      </c>
      <c r="D158" s="100"/>
      <c r="E158" s="74">
        <f>E153*($Q$148/E148)</f>
        <v>1932.3840165644087</v>
      </c>
      <c r="F158">
        <f t="shared" ref="F158:Q158" si="83">F153*($Q$148/F148)</f>
        <v>2092.2033966312383</v>
      </c>
      <c r="G158">
        <f t="shared" si="83"/>
        <v>2194.9779697888193</v>
      </c>
      <c r="H158">
        <f t="shared" si="83"/>
        <v>2045.6718346829532</v>
      </c>
      <c r="I158">
        <f t="shared" si="83"/>
        <v>1981.5128411710671</v>
      </c>
      <c r="J158">
        <f t="shared" si="83"/>
        <v>1873.9369158623977</v>
      </c>
      <c r="K158">
        <f t="shared" si="83"/>
        <v>1933.8433929553778</v>
      </c>
      <c r="L158">
        <f t="shared" si="83"/>
        <v>2065.8748840845201</v>
      </c>
      <c r="M158">
        <f t="shared" si="83"/>
        <v>2064.9473449828865</v>
      </c>
      <c r="N158">
        <f t="shared" si="83"/>
        <v>1731.1147694605545</v>
      </c>
      <c r="O158">
        <f t="shared" si="83"/>
        <v>1907.118170319254</v>
      </c>
      <c r="P158">
        <f t="shared" si="83"/>
        <v>2361.1068374924671</v>
      </c>
      <c r="Q158" s="31">
        <f t="shared" si="83"/>
        <v>2683.3284796753874</v>
      </c>
      <c r="S158" s="1268">
        <f t="shared" ref="S158:S167" si="84">Q158/E158-1</f>
        <v>0.38861036764632573</v>
      </c>
      <c r="T158" s="1269">
        <f t="shared" si="82"/>
        <v>0.38756245177362381</v>
      </c>
    </row>
    <row r="159" spans="3:20" x14ac:dyDescent="0.35">
      <c r="C159" s="72" t="s">
        <v>356</v>
      </c>
      <c r="D159" s="73"/>
      <c r="E159" s="72">
        <f t="shared" ref="E159:Q159" si="85">E5*($Q$148/E$148)</f>
        <v>349.99667368956909</v>
      </c>
      <c r="F159" s="73">
        <f t="shared" si="85"/>
        <v>360.41903415298151</v>
      </c>
      <c r="G159" s="73">
        <f t="shared" si="85"/>
        <v>368.16327591792088</v>
      </c>
      <c r="H159" s="73">
        <f t="shared" si="85"/>
        <v>373.58151164369633</v>
      </c>
      <c r="I159" s="73">
        <f t="shared" si="85"/>
        <v>364.74763294913504</v>
      </c>
      <c r="J159" s="73">
        <f t="shared" si="85"/>
        <v>408.45840383944449</v>
      </c>
      <c r="K159" s="73">
        <f t="shared" si="85"/>
        <v>431.96091242965048</v>
      </c>
      <c r="L159" s="73">
        <f t="shared" si="85"/>
        <v>467.98977585810093</v>
      </c>
      <c r="M159" s="73">
        <f t="shared" si="85"/>
        <v>432.37355572354357</v>
      </c>
      <c r="N159" s="73">
        <f t="shared" si="85"/>
        <v>400.65917137400186</v>
      </c>
      <c r="O159" s="73">
        <f t="shared" si="85"/>
        <v>531.68158482614933</v>
      </c>
      <c r="P159" s="73">
        <f t="shared" si="85"/>
        <v>427.88169206254577</v>
      </c>
      <c r="Q159" s="29">
        <f t="shared" si="85"/>
        <v>335.48251784312123</v>
      </c>
      <c r="S159" s="1266">
        <f t="shared" si="84"/>
        <v>-4.146941081880462E-2</v>
      </c>
      <c r="T159" s="1267">
        <f>Q159/K159-1</f>
        <v>-0.2233498258994483</v>
      </c>
    </row>
    <row r="160" spans="3:20" x14ac:dyDescent="0.35">
      <c r="C160" s="74" t="s">
        <v>267</v>
      </c>
      <c r="E160" s="74">
        <f t="shared" ref="E160:Q160" si="86">E6*($Q$148/E$148)</f>
        <v>2723.1513242791293</v>
      </c>
      <c r="F160">
        <f t="shared" si="86"/>
        <v>2839.2793995434617</v>
      </c>
      <c r="G160">
        <f t="shared" si="86"/>
        <v>3021.4999127774868</v>
      </c>
      <c r="H160">
        <f t="shared" si="86"/>
        <v>2701.6161793558308</v>
      </c>
      <c r="I160">
        <f t="shared" si="86"/>
        <v>2365.6243978688781</v>
      </c>
      <c r="J160">
        <f t="shared" si="86"/>
        <v>2258.0142557110989</v>
      </c>
      <c r="K160">
        <f t="shared" si="86"/>
        <v>2378.7608518710927</v>
      </c>
      <c r="L160">
        <f t="shared" si="86"/>
        <v>2586.6951359427981</v>
      </c>
      <c r="M160">
        <f t="shared" si="86"/>
        <v>2897.2565401056677</v>
      </c>
      <c r="N160">
        <f t="shared" si="86"/>
        <v>2275.2997085680436</v>
      </c>
      <c r="O160">
        <f t="shared" si="86"/>
        <v>2516.784163326693</v>
      </c>
      <c r="P160">
        <f t="shared" si="86"/>
        <v>2705.0703433253411</v>
      </c>
      <c r="Q160" s="31">
        <f t="shared" si="86"/>
        <v>2897.9369413372947</v>
      </c>
      <c r="S160" s="1266">
        <f t="shared" si="84"/>
        <v>6.4185054829604349E-2</v>
      </c>
      <c r="T160" s="1267">
        <f t="shared" si="82"/>
        <v>0.21825484855185295</v>
      </c>
    </row>
    <row r="161" spans="3:20" x14ac:dyDescent="0.35">
      <c r="C161" s="74" t="s">
        <v>270</v>
      </c>
      <c r="E161" s="74">
        <f t="shared" ref="E161:Q161" si="87">E7*($Q$148/E$148)</f>
        <v>1932.3840165644087</v>
      </c>
      <c r="F161">
        <f t="shared" si="87"/>
        <v>2092.2033966312383</v>
      </c>
      <c r="G161">
        <f t="shared" si="87"/>
        <v>2194.9779697888193</v>
      </c>
      <c r="H161">
        <f t="shared" si="87"/>
        <v>2045.6718346829532</v>
      </c>
      <c r="I161">
        <f t="shared" si="87"/>
        <v>1981.5128411710671</v>
      </c>
      <c r="J161">
        <f t="shared" si="87"/>
        <v>1873.9369158623977</v>
      </c>
      <c r="K161">
        <f t="shared" si="87"/>
        <v>1933.8433929553778</v>
      </c>
      <c r="L161">
        <f t="shared" si="87"/>
        <v>2065.8748840845201</v>
      </c>
      <c r="M161">
        <f t="shared" si="87"/>
        <v>2064.9473449828865</v>
      </c>
      <c r="N161">
        <f t="shared" si="87"/>
        <v>1731.1147694605545</v>
      </c>
      <c r="O161">
        <f t="shared" si="87"/>
        <v>1907.118170319254</v>
      </c>
      <c r="P161">
        <f t="shared" si="87"/>
        <v>2361.1068374924671</v>
      </c>
      <c r="Q161" s="31">
        <f t="shared" si="87"/>
        <v>2683.3284796753874</v>
      </c>
      <c r="S161" s="1266">
        <f t="shared" si="84"/>
        <v>0.38861036764632573</v>
      </c>
      <c r="T161" s="1267">
        <f>Q161/K161-1</f>
        <v>0.38756245177362381</v>
      </c>
    </row>
    <row r="162" spans="3:20" x14ac:dyDescent="0.35">
      <c r="C162" s="74" t="s">
        <v>271</v>
      </c>
      <c r="E162" s="74">
        <f t="shared" ref="E162:Q162" si="88">E8*($Q$148/E$148)</f>
        <v>219.54068915894879</v>
      </c>
      <c r="F162">
        <f t="shared" si="88"/>
        <v>215.43689567407657</v>
      </c>
      <c r="G162">
        <f t="shared" si="88"/>
        <v>209.8766106703066</v>
      </c>
      <c r="H162">
        <f t="shared" si="88"/>
        <v>219.3465232864495</v>
      </c>
      <c r="I162">
        <f t="shared" si="88"/>
        <v>248.3841152249226</v>
      </c>
      <c r="J162">
        <f t="shared" si="88"/>
        <v>282.97226485319692</v>
      </c>
      <c r="K162">
        <f t="shared" si="88"/>
        <v>306.27483786777412</v>
      </c>
      <c r="L162">
        <f t="shared" si="88"/>
        <v>293.37298452212247</v>
      </c>
      <c r="M162">
        <f t="shared" si="88"/>
        <v>297.94980805397734</v>
      </c>
      <c r="N162">
        <f t="shared" si="88"/>
        <v>166.7660893937595</v>
      </c>
      <c r="O162">
        <f t="shared" si="88"/>
        <v>164.83844351425589</v>
      </c>
      <c r="P162">
        <f t="shared" si="88"/>
        <v>139.59571663887482</v>
      </c>
      <c r="Q162" s="31">
        <f t="shared" si="88"/>
        <v>131.26473492305095</v>
      </c>
      <c r="S162" s="1266">
        <f t="shared" si="84"/>
        <v>-0.40209381948320988</v>
      </c>
      <c r="T162" s="1267">
        <f t="shared" si="82"/>
        <v>-0.57141521700936804</v>
      </c>
    </row>
    <row r="163" spans="3:20" x14ac:dyDescent="0.35">
      <c r="C163" s="74" t="s">
        <v>272</v>
      </c>
      <c r="E163" s="74">
        <f t="shared" ref="E163:Q163" si="89">E9*($Q$148/E$148)</f>
        <v>215.6681642113289</v>
      </c>
      <c r="F163">
        <f t="shared" si="89"/>
        <v>191.09165572107614</v>
      </c>
      <c r="G163">
        <f t="shared" si="89"/>
        <v>180.897470463199</v>
      </c>
      <c r="H163">
        <f t="shared" si="89"/>
        <v>183.68145232155487</v>
      </c>
      <c r="I163">
        <f t="shared" si="89"/>
        <v>187.89383252445049</v>
      </c>
      <c r="J163">
        <f t="shared" si="89"/>
        <v>202.80563990613564</v>
      </c>
      <c r="K163">
        <f t="shared" si="89"/>
        <v>214.55409442843012</v>
      </c>
      <c r="L163">
        <f t="shared" si="89"/>
        <v>221.93719345909102</v>
      </c>
      <c r="M163">
        <f t="shared" si="89"/>
        <v>240.50559668704651</v>
      </c>
      <c r="N163">
        <f t="shared" si="89"/>
        <v>197.57813408116812</v>
      </c>
      <c r="O163">
        <f t="shared" si="89"/>
        <v>225.53968530745877</v>
      </c>
      <c r="P163">
        <f t="shared" si="89"/>
        <v>193.85814402420934</v>
      </c>
      <c r="Q163" s="31">
        <f t="shared" si="89"/>
        <v>235.75158222621704</v>
      </c>
      <c r="S163" s="1266">
        <f t="shared" si="84"/>
        <v>9.3121848040625954E-2</v>
      </c>
      <c r="T163" s="1267">
        <f t="shared" si="82"/>
        <v>9.8797871251335545E-2</v>
      </c>
    </row>
    <row r="164" spans="3:20" x14ac:dyDescent="0.35">
      <c r="C164" s="74" t="s">
        <v>273</v>
      </c>
      <c r="E164" s="74">
        <f t="shared" ref="E164:Q164" si="90">E10*($Q$148/E$148)</f>
        <v>904.8425980981184</v>
      </c>
      <c r="F164">
        <f t="shared" si="90"/>
        <v>847.79188033292735</v>
      </c>
      <c r="G164">
        <f t="shared" si="90"/>
        <v>950.10129760654456</v>
      </c>
      <c r="H164">
        <f t="shared" si="90"/>
        <v>802.81638563841454</v>
      </c>
      <c r="I164">
        <f t="shared" si="90"/>
        <v>988.25716549773574</v>
      </c>
      <c r="J164">
        <f t="shared" si="90"/>
        <v>776.26580848107994</v>
      </c>
      <c r="K164">
        <f t="shared" si="90"/>
        <v>663.27760311178736</v>
      </c>
      <c r="L164">
        <f t="shared" si="90"/>
        <v>626.93850928679819</v>
      </c>
      <c r="M164">
        <f t="shared" si="90"/>
        <v>556.1314258412973</v>
      </c>
      <c r="N164">
        <f t="shared" si="90"/>
        <v>413.1331187167853</v>
      </c>
      <c r="O164">
        <f t="shared" si="90"/>
        <v>279.07642116081013</v>
      </c>
      <c r="P164">
        <f t="shared" si="90"/>
        <v>151.35705843111538</v>
      </c>
      <c r="Q164" s="31">
        <f t="shared" si="90"/>
        <v>159.4265252994058</v>
      </c>
      <c r="S164" s="1266">
        <f t="shared" si="84"/>
        <v>-0.82380744934588268</v>
      </c>
      <c r="T164" s="1267">
        <f t="shared" si="82"/>
        <v>-0.75963831048801989</v>
      </c>
    </row>
    <row r="165" spans="3:20" x14ac:dyDescent="0.35">
      <c r="C165" s="74" t="s">
        <v>274</v>
      </c>
      <c r="E165" s="74">
        <f t="shared" ref="E165:Q165" si="91">E11*($Q$148/E$148)</f>
        <v>75.174818337072637</v>
      </c>
      <c r="F165">
        <f t="shared" si="91"/>
        <v>74.649044557747729</v>
      </c>
      <c r="G165">
        <f t="shared" si="91"/>
        <v>74.26545221974726</v>
      </c>
      <c r="H165">
        <f t="shared" si="91"/>
        <v>74.100396091893316</v>
      </c>
      <c r="I165">
        <f t="shared" si="91"/>
        <v>74.178747026169702</v>
      </c>
      <c r="J165">
        <f t="shared" si="91"/>
        <v>74.146896984509695</v>
      </c>
      <c r="K165">
        <f t="shared" si="91"/>
        <v>73.179294158553546</v>
      </c>
      <c r="L165">
        <f t="shared" si="91"/>
        <v>72.836606283458607</v>
      </c>
      <c r="M165">
        <f t="shared" si="91"/>
        <v>72.250569114412912</v>
      </c>
      <c r="N165">
        <f t="shared" si="91"/>
        <v>67.348368000000008</v>
      </c>
      <c r="O165">
        <f t="shared" si="91"/>
        <v>67.464406779661005</v>
      </c>
      <c r="P165">
        <f t="shared" si="91"/>
        <v>66.231050183405941</v>
      </c>
      <c r="Q165" s="31">
        <f t="shared" si="91"/>
        <v>64.2</v>
      </c>
      <c r="S165" s="1266">
        <f t="shared" si="84"/>
        <v>-0.1459906199954244</v>
      </c>
      <c r="T165" s="1267">
        <f t="shared" si="82"/>
        <v>-0.12270266148097309</v>
      </c>
    </row>
    <row r="166" spans="3:20" x14ac:dyDescent="0.35">
      <c r="C166" s="74" t="s">
        <v>275</v>
      </c>
      <c r="E166" s="74">
        <f t="shared" ref="E166:Q166" si="92">E12*($Q$148/E$148)</f>
        <v>1428.4215693726983</v>
      </c>
      <c r="F166">
        <f t="shared" si="92"/>
        <v>1504.0411664327596</v>
      </c>
      <c r="G166">
        <f t="shared" si="92"/>
        <v>1616.6232115523449</v>
      </c>
      <c r="H166">
        <f t="shared" si="92"/>
        <v>1414.1053459572581</v>
      </c>
      <c r="I166">
        <f t="shared" si="92"/>
        <v>1279.6924445813186</v>
      </c>
      <c r="J166">
        <f t="shared" si="92"/>
        <v>1288.4287596532042</v>
      </c>
      <c r="K166">
        <f t="shared" si="92"/>
        <v>1351.2727530455982</v>
      </c>
      <c r="L166">
        <f t="shared" si="92"/>
        <v>1475.6337895466304</v>
      </c>
      <c r="M166">
        <f t="shared" si="92"/>
        <v>1636.5264492985129</v>
      </c>
      <c r="N166">
        <f t="shared" si="92"/>
        <v>1296.2313140851968</v>
      </c>
      <c r="O166">
        <f t="shared" si="92"/>
        <v>1362.6910688585995</v>
      </c>
      <c r="P166">
        <f t="shared" si="92"/>
        <v>1485.5562657960211</v>
      </c>
      <c r="Q166" s="31">
        <f t="shared" si="92"/>
        <v>1496.2720677097618</v>
      </c>
      <c r="S166" s="1266">
        <f t="shared" si="84"/>
        <v>4.7500331689096953E-2</v>
      </c>
      <c r="T166" s="1267">
        <f t="shared" si="82"/>
        <v>0.10730573404766242</v>
      </c>
    </row>
    <row r="167" spans="3:20" x14ac:dyDescent="0.35">
      <c r="C167" s="99" t="s">
        <v>276</v>
      </c>
      <c r="D167" s="100"/>
      <c r="E167" s="99">
        <f t="shared" ref="E167:Q167" si="93">E13*($Q$148/E$148)</f>
        <v>0</v>
      </c>
      <c r="F167" s="100">
        <f t="shared" si="93"/>
        <v>112.51065718764039</v>
      </c>
      <c r="G167" s="100">
        <f t="shared" si="93"/>
        <v>185.80346025299082</v>
      </c>
      <c r="H167" s="100">
        <f t="shared" si="93"/>
        <v>117.73152228584152</v>
      </c>
      <c r="I167" s="100">
        <f t="shared" si="93"/>
        <v>40.848989065095509</v>
      </c>
      <c r="J167" s="100">
        <f t="shared" si="93"/>
        <v>55.609939923533368</v>
      </c>
      <c r="K167" s="100">
        <f t="shared" si="93"/>
        <v>33.837006265660719</v>
      </c>
      <c r="L167" s="100">
        <f t="shared" si="93"/>
        <v>100.172240473277</v>
      </c>
      <c r="M167" s="100">
        <f t="shared" si="93"/>
        <v>80.946247457966493</v>
      </c>
      <c r="N167" s="100">
        <f t="shared" si="93"/>
        <v>108.29658463146207</v>
      </c>
      <c r="O167" s="100">
        <f t="shared" si="93"/>
        <v>80.611320207204272</v>
      </c>
      <c r="P167" s="100">
        <f t="shared" si="93"/>
        <v>89.833707184121181</v>
      </c>
      <c r="Q167" s="33">
        <f t="shared" si="93"/>
        <v>0</v>
      </c>
      <c r="S167" s="1268" t="e">
        <f t="shared" si="84"/>
        <v>#DIV/0!</v>
      </c>
      <c r="T167" s="1269">
        <f t="shared" si="82"/>
        <v>-1</v>
      </c>
    </row>
    <row r="168" spans="3:20" ht="15.65" customHeight="1" x14ac:dyDescent="0.35"/>
    <row r="169" spans="3:20" ht="15.65" customHeight="1" x14ac:dyDescent="0.35"/>
    <row r="170" spans="3:20" x14ac:dyDescent="0.35">
      <c r="C170" s="35" t="s">
        <v>357</v>
      </c>
    </row>
    <row r="171" spans="3:20" x14ac:dyDescent="0.35">
      <c r="C171" s="250"/>
      <c r="E171" s="985">
        <v>2011</v>
      </c>
      <c r="F171" s="986">
        <v>2012</v>
      </c>
      <c r="G171" s="986">
        <v>2013</v>
      </c>
      <c r="H171" s="986">
        <v>2014</v>
      </c>
      <c r="I171" s="986">
        <v>2015</v>
      </c>
      <c r="J171" s="986">
        <v>2016</v>
      </c>
      <c r="K171" s="987">
        <v>2017</v>
      </c>
      <c r="L171" s="987">
        <v>2018</v>
      </c>
      <c r="M171" s="987">
        <v>2019</v>
      </c>
      <c r="N171" s="987">
        <v>2020</v>
      </c>
      <c r="O171" s="987">
        <v>2021</v>
      </c>
      <c r="P171" s="987">
        <v>2022</v>
      </c>
      <c r="Q171" s="988">
        <v>2023</v>
      </c>
      <c r="S171" s="1047" t="s">
        <v>262</v>
      </c>
      <c r="T171" s="1047" t="s">
        <v>263</v>
      </c>
    </row>
    <row r="172" spans="3:20" x14ac:dyDescent="0.35">
      <c r="C172" s="260" t="s">
        <v>345</v>
      </c>
      <c r="D172" s="19"/>
      <c r="E172" s="1278">
        <v>89.588999999999999</v>
      </c>
      <c r="F172" s="1279">
        <v>90.22</v>
      </c>
      <c r="G172" s="1279">
        <v>90.686000000000007</v>
      </c>
      <c r="H172" s="1279">
        <v>90.888000000000005</v>
      </c>
      <c r="I172" s="1279">
        <v>90.792000000000002</v>
      </c>
      <c r="J172" s="1279">
        <v>90.831000000000003</v>
      </c>
      <c r="K172" s="1279">
        <v>92.031999999999996</v>
      </c>
      <c r="L172" s="1279">
        <v>92.465000000000003</v>
      </c>
      <c r="M172" s="1279">
        <v>93.215000000000003</v>
      </c>
      <c r="N172" s="1279">
        <v>100</v>
      </c>
      <c r="O172" s="1279">
        <v>99.828000000000003</v>
      </c>
      <c r="P172" s="1279">
        <v>101.687</v>
      </c>
      <c r="Q172" s="1280">
        <v>104.904</v>
      </c>
      <c r="S172" s="1046">
        <f>Q175/E175-1</f>
        <v>0.19594846670045851</v>
      </c>
      <c r="T172" s="1046">
        <f>Q175/L175-1</f>
        <v>0.15997916324756711</v>
      </c>
    </row>
    <row r="173" spans="3:20" x14ac:dyDescent="0.35">
      <c r="C173" s="72" t="s">
        <v>358</v>
      </c>
      <c r="D173" s="73"/>
      <c r="E173" s="741">
        <f t="shared" ref="E173:Q173" si="94">E36</f>
        <v>30331.668814430061</v>
      </c>
      <c r="F173" s="742">
        <f t="shared" si="94"/>
        <v>31860.796314218755</v>
      </c>
      <c r="G173" s="742">
        <f t="shared" si="94"/>
        <v>34537.237320352593</v>
      </c>
      <c r="H173" s="742">
        <f t="shared" si="94"/>
        <v>31257.486407933473</v>
      </c>
      <c r="I173" s="742">
        <f t="shared" si="94"/>
        <v>29072.044073395384</v>
      </c>
      <c r="J173" s="742">
        <f t="shared" si="94"/>
        <v>28284.586497368968</v>
      </c>
      <c r="K173" s="742">
        <f t="shared" si="94"/>
        <v>29806.744647522228</v>
      </c>
      <c r="L173" s="742">
        <f t="shared" si="94"/>
        <v>32276.116076797407</v>
      </c>
      <c r="M173" s="742">
        <f t="shared" si="94"/>
        <v>35830.594383856267</v>
      </c>
      <c r="N173" s="742">
        <f t="shared" si="94"/>
        <v>31730.38193173043</v>
      </c>
      <c r="O173" s="742">
        <f t="shared" si="94"/>
        <v>35435.557103057443</v>
      </c>
      <c r="P173" s="742">
        <f t="shared" si="94"/>
        <v>38594.360132766247</v>
      </c>
      <c r="Q173" s="1284">
        <f t="shared" si="94"/>
        <v>42476.246350935151</v>
      </c>
      <c r="S173" s="1046">
        <f>Q176/E176-1</f>
        <v>0.13685199179952656</v>
      </c>
      <c r="T173" s="1046">
        <f>Q176/L176-1</f>
        <v>0.11605960709121521</v>
      </c>
    </row>
    <row r="174" spans="3:20" x14ac:dyDescent="0.35">
      <c r="C174" s="74" t="s">
        <v>359</v>
      </c>
      <c r="E174" s="1249">
        <f t="shared" ref="E174:Q174" si="95">E36-E29</f>
        <v>26914.424109341089</v>
      </c>
      <c r="F174" s="532">
        <f t="shared" si="95"/>
        <v>28195.518452256561</v>
      </c>
      <c r="G174" s="532">
        <f t="shared" si="95"/>
        <v>30509.106903444328</v>
      </c>
      <c r="H174" s="532">
        <f t="shared" si="95"/>
        <v>27455.919117090212</v>
      </c>
      <c r="I174" s="532">
        <f t="shared" si="95"/>
        <v>25183.612880841316</v>
      </c>
      <c r="J174" s="532">
        <f t="shared" si="95"/>
        <v>24551.550711945034</v>
      </c>
      <c r="K174" s="532">
        <f t="shared" si="95"/>
        <v>25967.548643954586</v>
      </c>
      <c r="L174" s="532">
        <f t="shared" si="95"/>
        <v>28295.952215408055</v>
      </c>
      <c r="M174" s="532">
        <f t="shared" si="95"/>
        <v>31773.457336476538</v>
      </c>
      <c r="N174" s="532">
        <f t="shared" si="95"/>
        <v>27837.098326691241</v>
      </c>
      <c r="O174" s="532">
        <f t="shared" si="95"/>
        <v>31346.536346437832</v>
      </c>
      <c r="P174" s="532">
        <f t="shared" si="95"/>
        <v>33436.733411268789</v>
      </c>
      <c r="Q174" s="1015">
        <f t="shared" si="95"/>
        <v>35828.314504786445</v>
      </c>
    </row>
    <row r="175" spans="3:20" x14ac:dyDescent="0.35">
      <c r="C175" s="764" t="s">
        <v>360</v>
      </c>
      <c r="D175" s="330"/>
      <c r="E175" s="1281">
        <f>E173*($Q$148/E172)</f>
        <v>35516.78649509394</v>
      </c>
      <c r="F175" s="1282">
        <f t="shared" ref="F175" si="96">F173*($Q$148/F172)</f>
        <v>37046.386350552028</v>
      </c>
      <c r="G175" s="1282">
        <f t="shared" ref="G175" si="97">G173*($Q$148/G172)</f>
        <v>39952.080187176281</v>
      </c>
      <c r="H175" s="1282">
        <f t="shared" ref="H175" si="98">H173*($Q$148/H172)</f>
        <v>36077.758935589438</v>
      </c>
      <c r="I175" s="1282">
        <f t="shared" ref="I175" si="99">I173*($Q$148/I172)</f>
        <v>33590.775745390223</v>
      </c>
      <c r="J175" s="1282">
        <f t="shared" ref="J175" si="100">J173*($Q$148/J172)</f>
        <v>32666.88973940608</v>
      </c>
      <c r="K175" s="1282">
        <f t="shared" ref="K175" si="101">K173*($Q$148/K172)</f>
        <v>33975.646954360134</v>
      </c>
      <c r="L175" s="1282">
        <f t="shared" ref="L175" si="102">L173*($Q$148/L172)</f>
        <v>36618.111511602823</v>
      </c>
      <c r="M175" s="1282">
        <f t="shared" ref="M175" si="103">M173*($Q$148/M172)</f>
        <v>40323.689033353614</v>
      </c>
      <c r="N175" s="1282">
        <f t="shared" ref="N175" si="104">N173*($Q$148/N172)</f>
        <v>33286.439861662489</v>
      </c>
      <c r="O175" s="1282">
        <f t="shared" ref="O175" si="105">O173*($Q$148/O172)</f>
        <v>37237.365091348496</v>
      </c>
      <c r="P175" s="1282">
        <f t="shared" ref="P175" si="106">P173*($Q$148/P172)</f>
        <v>39815.342721957677</v>
      </c>
      <c r="Q175" s="1283">
        <f t="shared" ref="Q175" si="107">Q173*($Q$148/Q172)</f>
        <v>42476.246350935151</v>
      </c>
    </row>
    <row r="176" spans="3:20" x14ac:dyDescent="0.35">
      <c r="C176" s="1244" t="s">
        <v>361</v>
      </c>
      <c r="D176" s="100"/>
      <c r="E176" s="1285">
        <f>E174*($Q$148/E172)</f>
        <v>31515.372944963307</v>
      </c>
      <c r="F176" s="1286">
        <f t="shared" ref="F176:Q176" si="108">F174*($Q$148/F172)</f>
        <v>32784.556281484394</v>
      </c>
      <c r="G176" s="1286">
        <f t="shared" si="108"/>
        <v>35292.408426867696</v>
      </c>
      <c r="H176" s="1286">
        <f t="shared" si="108"/>
        <v>31689.945196937235</v>
      </c>
      <c r="I176" s="1286">
        <f t="shared" si="108"/>
        <v>29097.957150980012</v>
      </c>
      <c r="J176" s="1286">
        <f t="shared" si="108"/>
        <v>28355.471985179967</v>
      </c>
      <c r="K176" s="1286">
        <f t="shared" si="108"/>
        <v>29599.484124493782</v>
      </c>
      <c r="L176" s="1286">
        <f t="shared" si="108"/>
        <v>32102.509827558169</v>
      </c>
      <c r="M176" s="1286">
        <f t="shared" si="108"/>
        <v>35757.79400767832</v>
      </c>
      <c r="N176" s="1286">
        <f t="shared" si="108"/>
        <v>29202.22962863218</v>
      </c>
      <c r="O176" s="1286">
        <f t="shared" si="108"/>
        <v>32940.428025070258</v>
      </c>
      <c r="P176" s="1286">
        <f t="shared" si="108"/>
        <v>34494.547796431609</v>
      </c>
      <c r="Q176" s="1287">
        <f t="shared" si="108"/>
        <v>35828.314504786445</v>
      </c>
    </row>
    <row r="177" spans="3:20" x14ac:dyDescent="0.35">
      <c r="C177" s="1210" t="s">
        <v>362</v>
      </c>
      <c r="E177" s="1281">
        <f>(MAT_INFO!H47/10^6)*($Q$148/E172)</f>
        <v>737.79488153470186</v>
      </c>
      <c r="F177" s="1282">
        <f>(MAT_INFO!I47/10^6)*($Q$148/F172)</f>
        <v>795.4108340459054</v>
      </c>
      <c r="G177" s="1282">
        <f>(MAT_INFO!J47/10^6)*($Q$148/G172)</f>
        <v>793.42279462776264</v>
      </c>
      <c r="H177" s="1282">
        <f>(MAT_INFO!K47/10^6)*($Q$148/H172)</f>
        <v>839.42363069961198</v>
      </c>
      <c r="I177" s="1282">
        <f>(MAT_INFO!L47/10^6)*($Q$148/I172)</f>
        <v>817.75937465249012</v>
      </c>
      <c r="J177" s="1282">
        <f>(MAT_INFO!M47/10^6)*($Q$148/J172)</f>
        <v>838.04624688879846</v>
      </c>
      <c r="K177" s="1282">
        <f>(MAT_INFO!N47/10^6)*($Q$148/K172)</f>
        <v>933.86522716805371</v>
      </c>
      <c r="L177" s="1282">
        <f>(MAT_INFO!O47/10^6)*($Q$148/L172)</f>
        <v>989.18343630054699</v>
      </c>
      <c r="M177" s="1282">
        <f>(MAT_INFO!P47/10^6)*($Q$148/M172)</f>
        <v>1190.0216386155462</v>
      </c>
      <c r="N177" s="1282">
        <f>(MAT_INFO!Q47/10^6)*($Q$148/N172)</f>
        <v>1208.9345842641821</v>
      </c>
      <c r="O177" s="1282">
        <f>(MAT_INFO!R47/10^6)*($Q$148/O172)</f>
        <v>1402.7008960630505</v>
      </c>
      <c r="P177" s="1282">
        <f>(MAT_INFO!S47/10^6)*($Q$148/P172)</f>
        <v>1397.3287920660141</v>
      </c>
      <c r="Q177" s="1283">
        <f>(MAT_INFO!T47/10^6)*($Q$148/Q172)</f>
        <v>1344.54797923</v>
      </c>
    </row>
    <row r="178" spans="3:20" x14ac:dyDescent="0.35">
      <c r="C178" s="74" t="s">
        <v>363</v>
      </c>
      <c r="E178" s="531">
        <f>(RESTAUCO!H32/10^6)*($Q$148/E172)</f>
        <v>978.17384573167567</v>
      </c>
      <c r="F178" s="83">
        <f>(RESTAUCO!I32/10^6)*($Q$148/F172)</f>
        <v>1027.6088662553641</v>
      </c>
      <c r="G178" s="83">
        <f>(RESTAUCO!J32/10^6)*($Q$148/G172)</f>
        <v>1060.106846219107</v>
      </c>
      <c r="H178" s="83">
        <f>(RESTAUCO!K32/10^6)*($Q$148/H172)</f>
        <v>1082.7125034330261</v>
      </c>
      <c r="I178" s="83">
        <f>(RESTAUCO!L32/10^6)*($Q$148/I172)</f>
        <v>1083.6627220695718</v>
      </c>
      <c r="J178" s="83">
        <f>(RESTAUCO!M32/10^6)*($Q$148/J172)</f>
        <v>1063.7830356125482</v>
      </c>
      <c r="K178" s="83">
        <f>(RESTAUCO!N32/10^6)*($Q$148/K172)</f>
        <v>1058.3731597287447</v>
      </c>
      <c r="L178" s="83">
        <f>(RESTAUCO!O32/10^6)*($Q$148/L172)</f>
        <v>1048.4205255825254</v>
      </c>
      <c r="M178" s="83">
        <f>(RESTAUCO!P32/10^6)*($Q$148/M172)</f>
        <v>1057.8826276028547</v>
      </c>
      <c r="N178" s="83">
        <f>(RESTAUCO!Q32/10^6)*($Q$148/N172)</f>
        <v>765.1904196909959</v>
      </c>
      <c r="O178" s="83">
        <f>(RESTAUCO!R32/10^6)*($Q$148/O172)</f>
        <v>949.94010721762652</v>
      </c>
      <c r="P178" s="83">
        <f>(RESTAUCO!S32/10^6)*($Q$148/P172)</f>
        <v>1042.9322013141057</v>
      </c>
      <c r="Q178" s="453">
        <f>(RESTAUCO!T32/10^6)*($Q$148/Q172)</f>
        <v>1139.6980519299998</v>
      </c>
      <c r="R178">
        <f>AVERAGE(E178:Q178)</f>
        <v>1027.5757624913958</v>
      </c>
    </row>
    <row r="179" spans="3:20" x14ac:dyDescent="0.35">
      <c r="C179" s="74" t="s">
        <v>265</v>
      </c>
      <c r="E179" s="1014">
        <f t="shared" ref="E179:Q179" si="109">E27*($Q$148/E$172)</f>
        <v>1084.9404003791717</v>
      </c>
      <c r="F179" s="715">
        <f t="shared" si="109"/>
        <v>1091.7808763808341</v>
      </c>
      <c r="G179" s="715">
        <f t="shared" si="109"/>
        <v>1114.9897458298663</v>
      </c>
      <c r="H179" s="715">
        <f t="shared" si="109"/>
        <v>1185.3072629040016</v>
      </c>
      <c r="I179" s="715">
        <f t="shared" si="109"/>
        <v>1230.1529775835529</v>
      </c>
      <c r="J179" s="715">
        <f t="shared" si="109"/>
        <v>1369.754645883176</v>
      </c>
      <c r="K179" s="715">
        <f t="shared" si="109"/>
        <v>1512.0818435678154</v>
      </c>
      <c r="L179" s="715">
        <f t="shared" si="109"/>
        <v>1522.5824390747543</v>
      </c>
      <c r="M179" s="715">
        <f t="shared" si="109"/>
        <v>1528.1210610578271</v>
      </c>
      <c r="N179" s="715">
        <f t="shared" si="109"/>
        <v>1365.4350467919039</v>
      </c>
      <c r="O179" s="715">
        <f t="shared" si="109"/>
        <v>1803.3508467946665</v>
      </c>
      <c r="P179" s="715">
        <f t="shared" si="109"/>
        <v>2020.1526809241761</v>
      </c>
      <c r="Q179" s="212">
        <f t="shared" si="109"/>
        <v>1912.7988499142102</v>
      </c>
      <c r="S179" s="1264">
        <f>Q179/E179-1</f>
        <v>0.76304509376341167</v>
      </c>
      <c r="T179" s="1265">
        <f>Q179/K179-1</f>
        <v>0.26501013027237175</v>
      </c>
    </row>
    <row r="180" spans="3:20" x14ac:dyDescent="0.35">
      <c r="C180" s="74" t="s">
        <v>267</v>
      </c>
      <c r="E180" s="1014">
        <f t="shared" ref="E180:Q180" si="110">E28*($Q$148/E$172)</f>
        <v>19906.07693186498</v>
      </c>
      <c r="F180" s="715">
        <f t="shared" si="110"/>
        <v>20754.966370931739</v>
      </c>
      <c r="G180" s="715">
        <f t="shared" si="110"/>
        <v>22086.987666502093</v>
      </c>
      <c r="H180" s="715">
        <f t="shared" si="110"/>
        <v>19748.656281840867</v>
      </c>
      <c r="I180" s="715">
        <f t="shared" si="110"/>
        <v>17292.576007813434</v>
      </c>
      <c r="J180" s="715">
        <f t="shared" si="110"/>
        <v>16505.952161630838</v>
      </c>
      <c r="K180" s="715">
        <f t="shared" si="110"/>
        <v>17388.602718355942</v>
      </c>
      <c r="L180" s="715">
        <f t="shared" si="110"/>
        <v>18908.590175020454</v>
      </c>
      <c r="M180" s="715">
        <f t="shared" si="110"/>
        <v>21178.77587796541</v>
      </c>
      <c r="N180" s="715">
        <f t="shared" si="110"/>
        <v>16632.307811169911</v>
      </c>
      <c r="O180" s="715">
        <f t="shared" si="110"/>
        <v>18397.5450535577</v>
      </c>
      <c r="P180" s="715">
        <f t="shared" si="110"/>
        <v>19773.906018460093</v>
      </c>
      <c r="Q180" s="212">
        <f t="shared" si="110"/>
        <v>21183.749571179054</v>
      </c>
      <c r="S180" s="1266">
        <f t="shared" ref="S180:S187" si="111">Q180/E180-1</f>
        <v>6.4185054829604349E-2</v>
      </c>
      <c r="T180" s="1267">
        <f t="shared" ref="T180:T187" si="112">Q180/K180-1</f>
        <v>0.21825484855185273</v>
      </c>
    </row>
    <row r="181" spans="3:20" x14ac:dyDescent="0.35">
      <c r="C181" s="74" t="s">
        <v>270</v>
      </c>
      <c r="E181" s="1014">
        <f t="shared" ref="E181:Q181" si="113">E29*($Q$148/E$172)</f>
        <v>4001.4135501306364</v>
      </c>
      <c r="F181" s="715">
        <f t="shared" si="113"/>
        <v>4261.8300690676324</v>
      </c>
      <c r="G181" s="715">
        <f t="shared" si="113"/>
        <v>4659.6717603085872</v>
      </c>
      <c r="H181" s="715">
        <f t="shared" si="113"/>
        <v>4387.8137386522012</v>
      </c>
      <c r="I181" s="715">
        <f t="shared" si="113"/>
        <v>4492.8185944102097</v>
      </c>
      <c r="J181" s="715">
        <f t="shared" si="113"/>
        <v>4311.4177542261159</v>
      </c>
      <c r="K181" s="715">
        <f t="shared" si="113"/>
        <v>4376.1628298663491</v>
      </c>
      <c r="L181" s="715">
        <f t="shared" si="113"/>
        <v>4515.6016840446482</v>
      </c>
      <c r="M181" s="715">
        <f t="shared" si="113"/>
        <v>4565.8950256752978</v>
      </c>
      <c r="N181" s="715">
        <f t="shared" si="113"/>
        <v>4084.2102330303105</v>
      </c>
      <c r="O181" s="715">
        <f t="shared" si="113"/>
        <v>4296.9370662782339</v>
      </c>
      <c r="P181" s="715">
        <f t="shared" si="113"/>
        <v>5320.794925526071</v>
      </c>
      <c r="Q181" s="212">
        <f t="shared" si="113"/>
        <v>6647.9318461487073</v>
      </c>
      <c r="S181" s="1266">
        <f t="shared" si="111"/>
        <v>0.6613958449587567</v>
      </c>
      <c r="T181" s="1267">
        <f t="shared" si="112"/>
        <v>0.51912351176195592</v>
      </c>
    </row>
    <row r="182" spans="3:20" x14ac:dyDescent="0.35">
      <c r="C182" s="74" t="s">
        <v>271</v>
      </c>
      <c r="E182" s="1014">
        <f t="shared" ref="E182:Q182" si="114">E30*($Q$148/E$172)</f>
        <v>220.50114246073917</v>
      </c>
      <c r="F182" s="715">
        <f t="shared" si="114"/>
        <v>217.51015967213976</v>
      </c>
      <c r="G182" s="715">
        <f t="shared" si="114"/>
        <v>212.55565244397764</v>
      </c>
      <c r="H182" s="715">
        <f t="shared" si="114"/>
        <v>222.92242486472171</v>
      </c>
      <c r="I182" s="715">
        <f t="shared" si="114"/>
        <v>254.92008908347876</v>
      </c>
      <c r="J182" s="715">
        <f t="shared" si="114"/>
        <v>291.87886747653863</v>
      </c>
      <c r="K182" s="715">
        <f t="shared" si="114"/>
        <v>316.97067243079312</v>
      </c>
      <c r="L182" s="715">
        <f t="shared" si="114"/>
        <v>307.66094171981632</v>
      </c>
      <c r="M182" s="715">
        <f t="shared" si="114"/>
        <v>321.90518042125052</v>
      </c>
      <c r="N182" s="715">
        <f t="shared" si="114"/>
        <v>222.50218396528285</v>
      </c>
      <c r="O182" s="715">
        <f t="shared" si="114"/>
        <v>250.95924973698479</v>
      </c>
      <c r="P182" s="715">
        <f t="shared" si="114"/>
        <v>242.1709894903961</v>
      </c>
      <c r="Q182" s="212">
        <f t="shared" si="114"/>
        <v>302.09518099510825</v>
      </c>
      <c r="S182" s="1266">
        <f t="shared" si="111"/>
        <v>0.37003907382882217</v>
      </c>
      <c r="T182" s="1267">
        <f t="shared" si="112"/>
        <v>-4.6930182283450028E-2</v>
      </c>
    </row>
    <row r="183" spans="3:20" x14ac:dyDescent="0.35">
      <c r="C183" s="74" t="s">
        <v>272</v>
      </c>
      <c r="E183" s="1014">
        <f t="shared" ref="E183:Q183" si="115">E31*($Q$148/E$172)</f>
        <v>228.43318634662438</v>
      </c>
      <c r="F183" s="715">
        <f t="shared" si="115"/>
        <v>210.50781364575255</v>
      </c>
      <c r="G183" s="715">
        <f t="shared" si="115"/>
        <v>205.03652390512667</v>
      </c>
      <c r="H183" s="715">
        <f t="shared" si="115"/>
        <v>204.75436135654178</v>
      </c>
      <c r="I183" s="715">
        <f t="shared" si="115"/>
        <v>210.71008683154474</v>
      </c>
      <c r="J183" s="715">
        <f t="shared" si="115"/>
        <v>228.68403746299128</v>
      </c>
      <c r="K183" s="715">
        <f t="shared" si="115"/>
        <v>243.74611813993863</v>
      </c>
      <c r="L183" s="715">
        <f t="shared" si="115"/>
        <v>257.9406279286631</v>
      </c>
      <c r="M183" s="715">
        <f t="shared" si="115"/>
        <v>279.13299319901324</v>
      </c>
      <c r="N183" s="715">
        <f t="shared" si="115"/>
        <v>241.8454128962928</v>
      </c>
      <c r="O183" s="715">
        <f t="shared" si="115"/>
        <v>276.16628339694302</v>
      </c>
      <c r="P183" s="715">
        <f t="shared" si="115"/>
        <v>251.10663985658471</v>
      </c>
      <c r="Q183" s="212">
        <f t="shared" si="115"/>
        <v>322.46191708426198</v>
      </c>
      <c r="S183" s="1266">
        <f>Q183/E183-1</f>
        <v>0.411624651572992</v>
      </c>
      <c r="T183" s="1267">
        <f t="shared" si="112"/>
        <v>0.32294175408828996</v>
      </c>
    </row>
    <row r="184" spans="3:20" x14ac:dyDescent="0.35">
      <c r="C184" s="74" t="s">
        <v>273</v>
      </c>
      <c r="E184" s="1014">
        <f t="shared" ref="E184:Q184" si="116">E32*($Q$148/E$172)</f>
        <v>1046.7379950776583</v>
      </c>
      <c r="F184" s="715">
        <f t="shared" si="116"/>
        <v>968.88146756413994</v>
      </c>
      <c r="G184" s="715">
        <f t="shared" si="116"/>
        <v>1098.5165237715537</v>
      </c>
      <c r="H184" s="715">
        <f t="shared" si="116"/>
        <v>853.30160877018113</v>
      </c>
      <c r="I184" s="715">
        <f t="shared" si="116"/>
        <v>1242.1818776309635</v>
      </c>
      <c r="J184" s="715">
        <f t="shared" si="116"/>
        <v>1066.5629215107724</v>
      </c>
      <c r="K184" s="715">
        <f t="shared" si="116"/>
        <v>1039.4935284412379</v>
      </c>
      <c r="L184" s="715">
        <f t="shared" si="116"/>
        <v>957.69553439294657</v>
      </c>
      <c r="M184" s="715">
        <f t="shared" si="116"/>
        <v>1215.4510833396998</v>
      </c>
      <c r="N184" s="715">
        <f t="shared" si="116"/>
        <v>1192.9481091655252</v>
      </c>
      <c r="O184" s="715">
        <f t="shared" si="116"/>
        <v>1681.7318448896237</v>
      </c>
      <c r="P184" s="715">
        <f t="shared" si="116"/>
        <v>1380.1184175035633</v>
      </c>
      <c r="Q184" s="212">
        <f t="shared" si="116"/>
        <v>1270.8265252994058</v>
      </c>
      <c r="S184" s="1266">
        <f>Q184/E184-1</f>
        <v>0.21408273252288157</v>
      </c>
      <c r="T184" s="1267">
        <f t="shared" si="112"/>
        <v>0.22254395099992674</v>
      </c>
    </row>
    <row r="185" spans="3:20" x14ac:dyDescent="0.35">
      <c r="C185" s="74" t="s">
        <v>274</v>
      </c>
      <c r="E185" s="1014">
        <f t="shared" ref="E185:Q185" si="117">E33*($Q$148/E$172)</f>
        <v>175.642098918394</v>
      </c>
      <c r="F185" s="715">
        <f t="shared" si="117"/>
        <v>174.41365550875636</v>
      </c>
      <c r="G185" s="715">
        <f t="shared" si="117"/>
        <v>173.51741172838143</v>
      </c>
      <c r="H185" s="715">
        <f t="shared" si="117"/>
        <v>173.13176656984419</v>
      </c>
      <c r="I185" s="715">
        <f t="shared" si="117"/>
        <v>173.31482950039648</v>
      </c>
      <c r="J185" s="715">
        <f t="shared" si="117"/>
        <v>173.24041351520955</v>
      </c>
      <c r="K185" s="715">
        <f t="shared" si="117"/>
        <v>170.97965924895686</v>
      </c>
      <c r="L185" s="715">
        <f t="shared" si="117"/>
        <v>170.17898664359484</v>
      </c>
      <c r="M185" s="715">
        <f t="shared" si="117"/>
        <v>168.80974092152547</v>
      </c>
      <c r="N185" s="715">
        <f t="shared" si="117"/>
        <v>157.35599999999999</v>
      </c>
      <c r="O185" s="715">
        <f t="shared" si="117"/>
        <v>157.62711864406776</v>
      </c>
      <c r="P185" s="715">
        <f t="shared" si="117"/>
        <v>154.74544435375219</v>
      </c>
      <c r="Q185" s="212">
        <f t="shared" si="117"/>
        <v>150</v>
      </c>
      <c r="S185" s="1266">
        <f t="shared" si="111"/>
        <v>-0.1459906199954244</v>
      </c>
      <c r="T185" s="1267">
        <f t="shared" si="112"/>
        <v>-0.12270266148097297</v>
      </c>
    </row>
    <row r="186" spans="3:20" x14ac:dyDescent="0.35">
      <c r="C186" s="74" t="s">
        <v>275</v>
      </c>
      <c r="E186" s="1014">
        <f t="shared" ref="E186:Q186" si="118">E34*($Q$148/E$172)</f>
        <v>8346.7352755735737</v>
      </c>
      <c r="F186" s="715">
        <f t="shared" si="118"/>
        <v>8788.6053591953587</v>
      </c>
      <c r="G186" s="715">
        <f t="shared" si="118"/>
        <v>9446.4591381805985</v>
      </c>
      <c r="H186" s="715">
        <f t="shared" si="118"/>
        <v>8263.0808912120156</v>
      </c>
      <c r="I186" s="715">
        <f t="shared" si="118"/>
        <v>7477.6622658831902</v>
      </c>
      <c r="J186" s="715">
        <f t="shared" si="118"/>
        <v>7528.7114174449771</v>
      </c>
      <c r="K186" s="715">
        <f t="shared" si="118"/>
        <v>7895.9294627007375</v>
      </c>
      <c r="L186" s="715">
        <f t="shared" si="118"/>
        <v>8622.6117479072745</v>
      </c>
      <c r="M186" s="715">
        <f t="shared" si="118"/>
        <v>9562.7602779533809</v>
      </c>
      <c r="N186" s="715">
        <f t="shared" si="118"/>
        <v>7574.3042996258982</v>
      </c>
      <c r="O186" s="715">
        <f t="shared" si="118"/>
        <v>7962.6504233943442</v>
      </c>
      <c r="P186" s="715">
        <f t="shared" si="118"/>
        <v>8680.5920278943668</v>
      </c>
      <c r="Q186" s="212">
        <f t="shared" si="118"/>
        <v>8743.2079696844066</v>
      </c>
      <c r="S186" s="1266">
        <f t="shared" si="111"/>
        <v>4.7500331689097175E-2</v>
      </c>
      <c r="T186" s="1267">
        <f t="shared" si="112"/>
        <v>0.10730573404766264</v>
      </c>
    </row>
    <row r="187" spans="3:20" x14ac:dyDescent="0.35">
      <c r="C187" s="99" t="s">
        <v>276</v>
      </c>
      <c r="D187" s="100"/>
      <c r="E187" s="716">
        <f t="shared" ref="E187:Q187" si="119">E35*($Q$148/E$172)</f>
        <v>506.30591434216251</v>
      </c>
      <c r="F187" s="213">
        <f t="shared" si="119"/>
        <v>577.89057858567946</v>
      </c>
      <c r="G187" s="213">
        <f t="shared" si="119"/>
        <v>954.34576450609791</v>
      </c>
      <c r="H187" s="213">
        <f t="shared" si="119"/>
        <v>1038.7905994190651</v>
      </c>
      <c r="I187" s="213">
        <f t="shared" si="119"/>
        <v>1216.4390166534495</v>
      </c>
      <c r="J187" s="213">
        <f t="shared" si="119"/>
        <v>1190.6875202554652</v>
      </c>
      <c r="K187" s="213">
        <f t="shared" si="119"/>
        <v>1031.6801216083595</v>
      </c>
      <c r="L187" s="213">
        <f t="shared" si="119"/>
        <v>1355.2493748706672</v>
      </c>
      <c r="M187" s="213">
        <f t="shared" si="119"/>
        <v>1502.8377928202181</v>
      </c>
      <c r="N187" s="213">
        <f t="shared" si="119"/>
        <v>1815.5307650173631</v>
      </c>
      <c r="O187" s="213">
        <f t="shared" si="119"/>
        <v>2410.397204655932</v>
      </c>
      <c r="P187" s="213">
        <f t="shared" si="119"/>
        <v>1991.7555779486777</v>
      </c>
      <c r="Q187" s="214">
        <f t="shared" si="119"/>
        <v>1943.1744906299998</v>
      </c>
      <c r="S187" s="1268">
        <f t="shared" si="111"/>
        <v>2.8379454704864435</v>
      </c>
      <c r="T187" s="1269">
        <f t="shared" si="112"/>
        <v>0.8835048286097118</v>
      </c>
    </row>
    <row r="189" spans="3:20" x14ac:dyDescent="0.35">
      <c r="C189" s="15" t="s">
        <v>364</v>
      </c>
      <c r="E189" s="139"/>
      <c r="N189" s="139"/>
      <c r="O189" s="139"/>
      <c r="P189" s="139"/>
    </row>
    <row r="190" spans="3:20" x14ac:dyDescent="0.35">
      <c r="C190" s="16" t="s">
        <v>365</v>
      </c>
      <c r="D190" s="63"/>
      <c r="E190" s="985"/>
      <c r="F190" s="986"/>
      <c r="G190" s="986"/>
      <c r="H190" s="986">
        <v>2014</v>
      </c>
      <c r="I190" s="986">
        <v>2015</v>
      </c>
      <c r="J190" s="986">
        <v>2016</v>
      </c>
      <c r="K190" s="987">
        <v>2017</v>
      </c>
      <c r="L190" s="987">
        <v>2018</v>
      </c>
      <c r="M190" s="987">
        <v>2019</v>
      </c>
      <c r="N190" s="987">
        <v>2020</v>
      </c>
      <c r="O190" s="987">
        <v>2021</v>
      </c>
      <c r="P190" s="987">
        <v>2022</v>
      </c>
      <c r="Q190" s="988">
        <v>2023</v>
      </c>
      <c r="S190" s="1047" t="s">
        <v>263</v>
      </c>
    </row>
    <row r="191" spans="3:20" x14ac:dyDescent="0.35">
      <c r="C191" s="260" t="s">
        <v>366</v>
      </c>
      <c r="E191" s="1121"/>
      <c r="F191" s="210"/>
      <c r="G191" s="216"/>
      <c r="H191" s="216"/>
      <c r="I191" s="216"/>
      <c r="J191" s="216"/>
      <c r="K191" s="216"/>
      <c r="L191" s="216"/>
      <c r="M191" s="216"/>
      <c r="N191" s="216"/>
      <c r="O191" s="216"/>
      <c r="P191" s="216"/>
      <c r="Q191" s="217"/>
      <c r="R191" s="455"/>
      <c r="S191" s="1046">
        <f>Q202/K202-1</f>
        <v>0.3130572926951114</v>
      </c>
    </row>
    <row r="192" spans="3:20" x14ac:dyDescent="0.35">
      <c r="C192" s="14" t="s">
        <v>367</v>
      </c>
      <c r="E192" s="1014"/>
      <c r="F192" s="715"/>
      <c r="G192" s="719"/>
      <c r="H192" s="719"/>
      <c r="I192" s="719"/>
      <c r="J192" s="719"/>
      <c r="K192" s="719">
        <v>947.58721816620573</v>
      </c>
      <c r="L192" s="719">
        <v>929.54425574170557</v>
      </c>
      <c r="M192" s="719">
        <v>973.6530895841463</v>
      </c>
      <c r="N192" s="719">
        <v>919.67501279064857</v>
      </c>
      <c r="O192" s="719">
        <v>1210.1368783248795</v>
      </c>
      <c r="P192" s="719">
        <v>1543.4421951915335</v>
      </c>
      <c r="Q192" s="1044">
        <v>1577.3163320710887</v>
      </c>
      <c r="R192" s="1058">
        <f>SUM(K192:Q192)</f>
        <v>8101.3549818702086</v>
      </c>
      <c r="S192" s="1058"/>
    </row>
    <row r="193" spans="3:20" x14ac:dyDescent="0.35">
      <c r="C193" s="14" t="s">
        <v>368</v>
      </c>
      <c r="E193" s="1014"/>
      <c r="F193" s="715"/>
      <c r="G193" s="719"/>
      <c r="H193" s="719"/>
      <c r="I193" s="719"/>
      <c r="J193" s="719"/>
      <c r="K193" s="719">
        <v>59.599076923076922</v>
      </c>
      <c r="L193" s="719">
        <v>52.500560000000007</v>
      </c>
      <c r="M193" s="719">
        <v>64.968654545454555</v>
      </c>
      <c r="N193" s="719">
        <v>46.545100000000012</v>
      </c>
      <c r="O193" s="719">
        <v>59.821461538461556</v>
      </c>
      <c r="P193" s="719">
        <v>82.693719230769247</v>
      </c>
      <c r="Q193" s="1044">
        <v>122.73258666666671</v>
      </c>
      <c r="R193" s="1058"/>
      <c r="S193" s="1058"/>
    </row>
    <row r="194" spans="3:20" x14ac:dyDescent="0.35">
      <c r="C194" s="14" t="s">
        <v>369</v>
      </c>
      <c r="E194" s="1014"/>
      <c r="F194" s="715"/>
      <c r="G194" s="719"/>
      <c r="H194" s="719"/>
      <c r="I194" s="719"/>
      <c r="J194" s="719"/>
      <c r="K194" s="719">
        <v>879.36105172534519</v>
      </c>
      <c r="L194" s="719">
        <v>926.84776722952165</v>
      </c>
      <c r="M194" s="719">
        <v>734.06555555555553</v>
      </c>
      <c r="N194" s="719">
        <v>1525.9506341611605</v>
      </c>
      <c r="O194" s="719">
        <v>615.65027341079963</v>
      </c>
      <c r="P194" s="719">
        <v>1012.4153299916456</v>
      </c>
      <c r="Q194" s="1044">
        <v>925.14287916761623</v>
      </c>
      <c r="R194" s="1058"/>
      <c r="S194" s="1058"/>
    </row>
    <row r="195" spans="3:20" x14ac:dyDescent="0.35">
      <c r="C195" s="14" t="s">
        <v>370</v>
      </c>
      <c r="E195" s="1014"/>
      <c r="F195" s="715"/>
      <c r="G195" s="719"/>
      <c r="H195" s="719"/>
      <c r="I195" s="719"/>
      <c r="J195" s="719"/>
      <c r="K195" s="719">
        <v>19.856020226584363</v>
      </c>
      <c r="L195" s="719">
        <v>28.706549274018013</v>
      </c>
      <c r="M195" s="719">
        <v>36.929464170650043</v>
      </c>
      <c r="N195" s="719">
        <v>66.030432215244062</v>
      </c>
      <c r="O195" s="719">
        <v>98.600754990982196</v>
      </c>
      <c r="P195" s="719">
        <v>130.03868144928464</v>
      </c>
      <c r="Q195" s="1044">
        <v>228.34482839740394</v>
      </c>
      <c r="R195" s="1058">
        <f>SUM(K195:Q195)</f>
        <v>608.50673072416726</v>
      </c>
      <c r="S195" s="1058"/>
    </row>
    <row r="196" spans="3:20" x14ac:dyDescent="0.35">
      <c r="C196" s="14" t="s">
        <v>371</v>
      </c>
      <c r="E196" s="1014"/>
      <c r="F196" s="715"/>
      <c r="G196" s="719"/>
      <c r="H196" s="719"/>
      <c r="I196" s="719"/>
      <c r="J196" s="719"/>
      <c r="K196" s="719">
        <v>39.657373971715188</v>
      </c>
      <c r="L196" s="719">
        <v>25.076335921529488</v>
      </c>
      <c r="M196" s="719">
        <v>13.263557141531505</v>
      </c>
      <c r="N196" s="719">
        <v>1.7206389945730078</v>
      </c>
      <c r="O196" s="719">
        <v>105.25287814946213</v>
      </c>
      <c r="P196" s="719">
        <v>57.256730042859658</v>
      </c>
      <c r="Q196" s="1044">
        <v>88.776699408833579</v>
      </c>
      <c r="R196" s="1058"/>
      <c r="S196" s="1058"/>
    </row>
    <row r="197" spans="3:20" x14ac:dyDescent="0.35">
      <c r="C197" s="14" t="s">
        <v>372</v>
      </c>
      <c r="E197" s="1014"/>
      <c r="F197" s="715"/>
      <c r="G197" s="719"/>
      <c r="H197" s="719"/>
      <c r="I197" s="719"/>
      <c r="J197" s="719"/>
      <c r="K197" s="719">
        <v>1792.54177686</v>
      </c>
      <c r="L197" s="719">
        <v>2293.6884177000002</v>
      </c>
      <c r="M197" s="719">
        <v>2457.998509392</v>
      </c>
      <c r="N197" s="719">
        <v>2198.2565050349999</v>
      </c>
      <c r="O197" s="719">
        <v>2172.1753004699394</v>
      </c>
      <c r="P197" s="719">
        <v>2133.18515452467</v>
      </c>
      <c r="Q197" s="1044">
        <v>2327.9681945803318</v>
      </c>
      <c r="R197" s="1058"/>
      <c r="S197" s="1058"/>
      <c r="T197" t="s">
        <v>373</v>
      </c>
    </row>
    <row r="198" spans="3:20" x14ac:dyDescent="0.35">
      <c r="C198" s="14" t="s">
        <v>374</v>
      </c>
      <c r="E198" s="1014"/>
      <c r="F198" s="715"/>
      <c r="G198" s="719"/>
      <c r="H198" s="719"/>
      <c r="I198" s="719"/>
      <c r="J198" s="719"/>
      <c r="K198" s="719">
        <v>1007.0999999999999</v>
      </c>
      <c r="L198" s="719">
        <v>1131.4000000000001</v>
      </c>
      <c r="M198" s="719">
        <v>1202.1000000000001</v>
      </c>
      <c r="N198" s="719">
        <v>1674.1404360000001</v>
      </c>
      <c r="O198" s="719">
        <v>1662.31</v>
      </c>
      <c r="P198" s="719">
        <v>1663.1</v>
      </c>
      <c r="Q198" s="1044">
        <v>1762.6</v>
      </c>
      <c r="R198" s="1058"/>
      <c r="S198" s="1058">
        <f>R200+R195+R192</f>
        <v>11310.861712594375</v>
      </c>
    </row>
    <row r="199" spans="3:20" x14ac:dyDescent="0.35">
      <c r="C199" s="14" t="s">
        <v>375</v>
      </c>
      <c r="E199" s="1014"/>
      <c r="F199" s="715"/>
      <c r="G199" s="719"/>
      <c r="H199" s="719"/>
      <c r="I199" s="719"/>
      <c r="J199" s="719"/>
      <c r="K199" s="719">
        <v>9.4</v>
      </c>
      <c r="L199" s="719">
        <v>18.194838130000001</v>
      </c>
      <c r="M199" s="719">
        <v>13.524999999999999</v>
      </c>
      <c r="N199" s="719">
        <v>42.769999999999996</v>
      </c>
      <c r="O199" s="719">
        <v>22.7</v>
      </c>
      <c r="P199" s="719">
        <v>47.839999999999996</v>
      </c>
      <c r="Q199" s="1044">
        <v>46.211346257128646</v>
      </c>
      <c r="R199" s="1058"/>
      <c r="S199" s="1058"/>
    </row>
    <row r="200" spans="3:20" x14ac:dyDescent="0.35">
      <c r="C200" s="14" t="s">
        <v>376</v>
      </c>
      <c r="E200" s="716"/>
      <c r="F200" s="213"/>
      <c r="G200" s="207"/>
      <c r="H200" s="207"/>
      <c r="I200" s="207"/>
      <c r="J200" s="207"/>
      <c r="K200" s="207">
        <v>314.63280419999995</v>
      </c>
      <c r="L200" s="207">
        <v>369.77878010443305</v>
      </c>
      <c r="M200" s="207">
        <v>397.27144073684212</v>
      </c>
      <c r="N200" s="207">
        <v>373.17687765553188</v>
      </c>
      <c r="O200" s="207">
        <v>385.83241538553193</v>
      </c>
      <c r="P200" s="207">
        <v>395.44476231947363</v>
      </c>
      <c r="Q200" s="1045">
        <v>508.81677867947366</v>
      </c>
      <c r="R200" s="1058">
        <v>2601</v>
      </c>
      <c r="S200" s="1058"/>
    </row>
    <row r="201" spans="3:20" x14ac:dyDescent="0.35">
      <c r="C201" s="354" t="s">
        <v>320</v>
      </c>
      <c r="D201" s="63"/>
      <c r="E201" s="1084"/>
      <c r="F201" s="1085"/>
      <c r="G201" s="1122"/>
      <c r="H201" s="1122"/>
      <c r="I201" s="1122"/>
      <c r="J201" s="1122"/>
      <c r="K201" s="1122">
        <v>5069.7353220729265</v>
      </c>
      <c r="L201" s="1122">
        <v>5775.7375041012074</v>
      </c>
      <c r="M201" s="1122">
        <v>5893.7752711261801</v>
      </c>
      <c r="N201" s="1122">
        <v>6848.2656368521593</v>
      </c>
      <c r="O201" s="1122">
        <v>6332.4799622700566</v>
      </c>
      <c r="P201" s="1122">
        <v>7065.4165727502368</v>
      </c>
      <c r="Q201" s="1123">
        <v>7587.9096452285439</v>
      </c>
      <c r="R201" s="1058"/>
      <c r="S201" s="1058"/>
    </row>
    <row r="202" spans="3:20" x14ac:dyDescent="0.35">
      <c r="C202" s="354" t="s">
        <v>377</v>
      </c>
      <c r="D202" s="63"/>
      <c r="E202" s="765">
        <f>E201*($Q$148/E172)</f>
        <v>0</v>
      </c>
      <c r="F202" s="1057">
        <f t="shared" ref="F202:Q202" si="120">F201*($Q$148/F172)</f>
        <v>0</v>
      </c>
      <c r="G202" s="1057">
        <f t="shared" si="120"/>
        <v>0</v>
      </c>
      <c r="H202" s="1057">
        <f t="shared" si="120"/>
        <v>0</v>
      </c>
      <c r="I202" s="1057">
        <f t="shared" si="120"/>
        <v>0</v>
      </c>
      <c r="J202" s="1057">
        <f t="shared" si="120"/>
        <v>0</v>
      </c>
      <c r="K202" s="1057">
        <f t="shared" si="120"/>
        <v>5778.8107856695306</v>
      </c>
      <c r="L202" s="1057">
        <f t="shared" si="120"/>
        <v>6552.7277037823287</v>
      </c>
      <c r="M202" s="1057">
        <f t="shared" si="120"/>
        <v>6632.8445104566936</v>
      </c>
      <c r="N202" s="1057">
        <f t="shared" si="120"/>
        <v>7184.1045836833891</v>
      </c>
      <c r="O202" s="1057">
        <f t="shared" si="120"/>
        <v>6654.47046882616</v>
      </c>
      <c r="P202" s="1057">
        <f t="shared" si="120"/>
        <v>7288.9401806306696</v>
      </c>
      <c r="Q202" s="1056">
        <f t="shared" si="120"/>
        <v>7587.9096452285439</v>
      </c>
    </row>
    <row r="203" spans="3:20" x14ac:dyDescent="0.35">
      <c r="S203" s="397"/>
      <c r="T203" s="397"/>
    </row>
    <row r="204" spans="3:20" x14ac:dyDescent="0.35">
      <c r="C204" s="15" t="s">
        <v>378</v>
      </c>
      <c r="E204" s="985">
        <v>2011</v>
      </c>
      <c r="F204" s="986">
        <v>2012</v>
      </c>
      <c r="G204" s="986">
        <v>2013</v>
      </c>
      <c r="H204" s="986">
        <v>2014</v>
      </c>
      <c r="I204" s="986">
        <v>2015</v>
      </c>
      <c r="J204" s="986">
        <v>2016</v>
      </c>
      <c r="K204" s="987">
        <v>2017</v>
      </c>
      <c r="L204" s="987">
        <v>2018</v>
      </c>
      <c r="M204" s="987">
        <v>2019</v>
      </c>
      <c r="N204" s="987">
        <v>2020</v>
      </c>
      <c r="O204" s="987">
        <v>2021</v>
      </c>
      <c r="P204" s="987">
        <v>2022</v>
      </c>
      <c r="Q204" s="988">
        <v>2023</v>
      </c>
      <c r="S204" s="541"/>
      <c r="T204" s="541"/>
    </row>
    <row r="205" spans="3:20" x14ac:dyDescent="0.35">
      <c r="C205" s="93" t="s">
        <v>379</v>
      </c>
      <c r="E205" s="1116">
        <v>49041881002</v>
      </c>
      <c r="F205" s="1117">
        <v>49825959956</v>
      </c>
      <c r="G205" s="1117">
        <v>52111102729</v>
      </c>
      <c r="H205" s="1117">
        <v>46789016075</v>
      </c>
      <c r="I205" s="1117">
        <v>42291287600</v>
      </c>
      <c r="J205" s="1117">
        <v>41457040047</v>
      </c>
      <c r="K205" s="1117">
        <v>44411602338</v>
      </c>
      <c r="L205" s="1117">
        <v>47821459433</v>
      </c>
      <c r="M205" s="1117">
        <v>53913027615</v>
      </c>
      <c r="N205" s="1117">
        <v>47200212089</v>
      </c>
      <c r="O205" s="1117">
        <v>51874967476</v>
      </c>
      <c r="P205" s="1117">
        <v>56545929858</v>
      </c>
      <c r="Q205" s="1118">
        <v>61880061685</v>
      </c>
      <c r="S205" s="1124"/>
      <c r="T205" s="1124"/>
    </row>
    <row r="206" spans="3:20" x14ac:dyDescent="0.35">
      <c r="C206" s="95" t="s">
        <v>334</v>
      </c>
      <c r="E206" s="238">
        <f>E205/10^6</f>
        <v>49041.881002000002</v>
      </c>
      <c r="F206" s="567">
        <f t="shared" ref="F206:Q206" si="121">F205/10^6</f>
        <v>49825.959955999999</v>
      </c>
      <c r="G206" s="567">
        <f t="shared" si="121"/>
        <v>52111.102728999998</v>
      </c>
      <c r="H206" s="567">
        <f t="shared" si="121"/>
        <v>46789.016075</v>
      </c>
      <c r="I206" s="567">
        <f t="shared" si="121"/>
        <v>42291.287600000003</v>
      </c>
      <c r="J206" s="567">
        <f t="shared" si="121"/>
        <v>41457.040047000002</v>
      </c>
      <c r="K206" s="567">
        <f t="shared" si="121"/>
        <v>44411.602337999997</v>
      </c>
      <c r="L206" s="567">
        <f t="shared" si="121"/>
        <v>47821.459433000004</v>
      </c>
      <c r="M206" s="567">
        <f t="shared" si="121"/>
        <v>53913.027614999999</v>
      </c>
      <c r="N206" s="567">
        <f t="shared" si="121"/>
        <v>47200.212089000001</v>
      </c>
      <c r="O206" s="567">
        <f t="shared" si="121"/>
        <v>51874.967475999998</v>
      </c>
      <c r="P206" s="567">
        <f t="shared" si="121"/>
        <v>56545.929858000003</v>
      </c>
      <c r="Q206" s="568">
        <f t="shared" si="121"/>
        <v>61880.061685000001</v>
      </c>
      <c r="S206" s="397"/>
      <c r="T206" s="397"/>
    </row>
    <row r="208" spans="3:20" x14ac:dyDescent="0.35">
      <c r="C208" s="15" t="s">
        <v>380</v>
      </c>
      <c r="E208" s="985">
        <v>2011</v>
      </c>
      <c r="F208" s="986">
        <v>2012</v>
      </c>
      <c r="G208" s="986">
        <v>2013</v>
      </c>
      <c r="H208" s="986">
        <v>2014</v>
      </c>
      <c r="I208" s="986">
        <v>2015</v>
      </c>
      <c r="J208" s="986">
        <v>2016</v>
      </c>
      <c r="K208" s="987">
        <v>2017</v>
      </c>
      <c r="L208" s="987">
        <v>2018</v>
      </c>
      <c r="M208" s="987">
        <v>2019</v>
      </c>
      <c r="N208" s="987">
        <v>2020</v>
      </c>
      <c r="O208" s="987">
        <v>2021</v>
      </c>
      <c r="P208" s="987">
        <v>2022</v>
      </c>
      <c r="Q208" s="988">
        <v>2023</v>
      </c>
      <c r="S208" s="1047" t="s">
        <v>262</v>
      </c>
      <c r="T208" s="1047" t="s">
        <v>263</v>
      </c>
    </row>
    <row r="209" spans="3:20" x14ac:dyDescent="0.35">
      <c r="C209" s="245" t="s">
        <v>334</v>
      </c>
      <c r="E209" s="106">
        <f t="shared" ref="E209:Q209" si="122">E206*($Q$148/E148)</f>
        <v>57425.459427315946</v>
      </c>
      <c r="F209" s="1119">
        <f t="shared" si="122"/>
        <v>57935.518767725822</v>
      </c>
      <c r="G209" s="1119">
        <f t="shared" si="122"/>
        <v>60281.224452319162</v>
      </c>
      <c r="H209" s="1119">
        <f t="shared" si="122"/>
        <v>54004.433394197251</v>
      </c>
      <c r="I209" s="1119">
        <f t="shared" si="122"/>
        <v>48864.715331641557</v>
      </c>
      <c r="J209" s="1119">
        <f t="shared" si="122"/>
        <v>47880.231739059214</v>
      </c>
      <c r="K209" s="1119">
        <f t="shared" si="122"/>
        <v>50623.204229676106</v>
      </c>
      <c r="L209" s="1119">
        <f t="shared" si="122"/>
        <v>54254.716707504806</v>
      </c>
      <c r="M209" s="1119">
        <f t="shared" si="122"/>
        <v>60673.628159887994</v>
      </c>
      <c r="N209" s="1119">
        <f t="shared" si="122"/>
        <v>49514.910489844558</v>
      </c>
      <c r="O209" s="1119">
        <f t="shared" si="122"/>
        <v>54512.677686644056</v>
      </c>
      <c r="P209" s="1119">
        <f t="shared" si="122"/>
        <v>58334.833615148767</v>
      </c>
      <c r="Q209" s="1120">
        <f t="shared" si="122"/>
        <v>61880.061685000001</v>
      </c>
      <c r="S209" s="1046">
        <f>Q209/E209-1</f>
        <v>7.7571904554325721E-2</v>
      </c>
      <c r="T209" s="1046">
        <f>Q209/K209-1</f>
        <v>0.22236556588263046</v>
      </c>
    </row>
    <row r="211" spans="3:20" x14ac:dyDescent="0.35">
      <c r="C211" s="15" t="s">
        <v>381</v>
      </c>
      <c r="E211" s="985">
        <v>2011</v>
      </c>
      <c r="F211" s="986">
        <v>2012</v>
      </c>
      <c r="G211" s="986">
        <v>2013</v>
      </c>
      <c r="H211" s="986">
        <v>2014</v>
      </c>
      <c r="I211" s="986">
        <v>2015</v>
      </c>
      <c r="J211" s="986">
        <v>2016</v>
      </c>
      <c r="K211" s="987">
        <v>2017</v>
      </c>
      <c r="L211" s="987">
        <v>2018</v>
      </c>
      <c r="M211" s="987">
        <v>2019</v>
      </c>
      <c r="N211" s="987">
        <v>2020</v>
      </c>
      <c r="O211" s="987">
        <v>2021</v>
      </c>
      <c r="P211" s="987">
        <v>2022</v>
      </c>
      <c r="Q211" s="988">
        <v>2023</v>
      </c>
    </row>
    <row r="212" spans="3:20" x14ac:dyDescent="0.35">
      <c r="C212" s="93" t="s">
        <v>261</v>
      </c>
      <c r="E212" s="1093">
        <f t="shared" ref="E212:Q212" si="123">E154/E209</f>
        <v>0.13668466795021586</v>
      </c>
      <c r="F212" s="1125">
        <f t="shared" si="123"/>
        <v>0.14218260758584483</v>
      </c>
      <c r="G212" s="1125">
        <f t="shared" si="123"/>
        <v>0.14601907544548423</v>
      </c>
      <c r="H212" s="1125">
        <f t="shared" si="123"/>
        <v>0.14688888768373323</v>
      </c>
      <c r="I212" s="1125">
        <f t="shared" si="123"/>
        <v>0.15412225600405993</v>
      </c>
      <c r="J212" s="1125">
        <f t="shared" si="123"/>
        <v>0.15080626435908051</v>
      </c>
      <c r="K212" s="1125">
        <f t="shared" si="123"/>
        <v>0.1459204500888463</v>
      </c>
      <c r="L212" s="1125">
        <f t="shared" si="123"/>
        <v>0.14582052215125552</v>
      </c>
      <c r="M212" s="1125">
        <f t="shared" si="123"/>
        <v>0.1364495216183326</v>
      </c>
      <c r="N212" s="1125">
        <f t="shared" si="123"/>
        <v>0.13443278383137125</v>
      </c>
      <c r="O212" s="1125">
        <f t="shared" si="123"/>
        <v>0.13090175656604011</v>
      </c>
      <c r="P212" s="1125">
        <f t="shared" si="123"/>
        <v>0.13063362562088737</v>
      </c>
      <c r="Q212" s="491">
        <f t="shared" si="123"/>
        <v>0.12934154606627293</v>
      </c>
    </row>
    <row r="213" spans="3:20" x14ac:dyDescent="0.35">
      <c r="C213" s="1209" t="s">
        <v>382</v>
      </c>
      <c r="E213" s="533">
        <f>E155/E209</f>
        <v>0.10303436657108192</v>
      </c>
      <c r="F213" s="533">
        <f t="shared" ref="F213:Q213" si="124">F155/F209</f>
        <v>0.10606998719110447</v>
      </c>
      <c r="G213" s="533">
        <f t="shared" si="124"/>
        <v>0.10960677642980998</v>
      </c>
      <c r="H213" s="533">
        <f t="shared" si="124"/>
        <v>0.10900918584979531</v>
      </c>
      <c r="I213" s="533">
        <f t="shared" si="124"/>
        <v>0.11357126071589195</v>
      </c>
      <c r="J213" s="533">
        <f t="shared" si="124"/>
        <v>0.11166825587835509</v>
      </c>
      <c r="K213" s="1245">
        <f t="shared" si="124"/>
        <v>0.10771971936896571</v>
      </c>
      <c r="L213" s="533">
        <f t="shared" si="124"/>
        <v>0.10774318971909193</v>
      </c>
      <c r="M213" s="533">
        <f t="shared" si="124"/>
        <v>0.10241583338163596</v>
      </c>
      <c r="N213" s="533">
        <f t="shared" si="124"/>
        <v>9.9471299455556744E-2</v>
      </c>
      <c r="O213" s="533">
        <f t="shared" si="124"/>
        <v>9.5916900726046944E-2</v>
      </c>
      <c r="P213" s="533">
        <f t="shared" si="124"/>
        <v>9.0158549389945344E-2</v>
      </c>
      <c r="Q213" s="1245">
        <f t="shared" si="124"/>
        <v>8.5978168483767409E-2</v>
      </c>
    </row>
    <row r="214" spans="3:20" x14ac:dyDescent="0.35">
      <c r="C214" s="94" t="s">
        <v>383</v>
      </c>
      <c r="E214" s="533"/>
      <c r="F214" s="534"/>
      <c r="G214" s="534"/>
      <c r="H214" s="534"/>
      <c r="I214" s="534"/>
      <c r="J214" s="534"/>
      <c r="K214" s="1288">
        <f>K202/K209</f>
        <v>0.11415339810279931</v>
      </c>
      <c r="L214" s="534">
        <f t="shared" ref="L214:Q214" si="125">L202/L209</f>
        <v>0.12077710660824297</v>
      </c>
      <c r="M214" s="534">
        <f t="shared" si="125"/>
        <v>0.10932005735634812</v>
      </c>
      <c r="N214" s="534">
        <f t="shared" si="125"/>
        <v>0.14508972171436801</v>
      </c>
      <c r="O214" s="534">
        <f t="shared" si="125"/>
        <v>0.12207197942244079</v>
      </c>
      <c r="P214" s="534">
        <f t="shared" si="125"/>
        <v>0.12495004663453485</v>
      </c>
      <c r="Q214" s="1289">
        <f t="shared" si="125"/>
        <v>0.122622851991563</v>
      </c>
    </row>
    <row r="215" spans="3:20" x14ac:dyDescent="0.35">
      <c r="C215" s="95" t="s">
        <v>287</v>
      </c>
      <c r="E215" s="535">
        <f>E175/E209</f>
        <v>0.61848502126566252</v>
      </c>
      <c r="F215" s="536">
        <f t="shared" ref="F215:Q215" si="126">F175/F209</f>
        <v>0.63944169550078289</v>
      </c>
      <c r="G215" s="536">
        <f t="shared" si="126"/>
        <v>0.66276159036512783</v>
      </c>
      <c r="H215" s="536">
        <f t="shared" si="126"/>
        <v>0.66805179997436981</v>
      </c>
      <c r="I215" s="536">
        <f>I175/I209</f>
        <v>0.6874239523838801</v>
      </c>
      <c r="J215" s="536">
        <f t="shared" si="126"/>
        <v>0.68226256542441588</v>
      </c>
      <c r="K215" s="536">
        <f t="shared" si="126"/>
        <v>0.67114769741191305</v>
      </c>
      <c r="L215" s="536">
        <f t="shared" si="126"/>
        <v>0.67492954960978735</v>
      </c>
      <c r="M215" s="536">
        <f t="shared" si="126"/>
        <v>0.66459993008975937</v>
      </c>
      <c r="N215" s="536">
        <f t="shared" si="126"/>
        <v>0.67225083378651151</v>
      </c>
      <c r="O215" s="536">
        <f t="shared" si="126"/>
        <v>0.68309550496492821</v>
      </c>
      <c r="P215" s="536">
        <f t="shared" si="126"/>
        <v>0.68253117827729903</v>
      </c>
      <c r="Q215" s="495">
        <f t="shared" si="126"/>
        <v>0.68642863620854433</v>
      </c>
    </row>
    <row r="216" spans="3:20" x14ac:dyDescent="0.35">
      <c r="C216" t="s">
        <v>384</v>
      </c>
      <c r="E216" s="522">
        <f>E176/E209</f>
        <v>0.54880489001315991</v>
      </c>
      <c r="F216" s="522">
        <f t="shared" ref="F216:Q216" si="127">F176/F209</f>
        <v>0.56588008494277453</v>
      </c>
      <c r="G216" s="522">
        <f t="shared" si="127"/>
        <v>0.58546269999513778</v>
      </c>
      <c r="H216" s="522">
        <f t="shared" si="127"/>
        <v>0.58680266054494523</v>
      </c>
      <c r="I216" s="522">
        <f t="shared" si="127"/>
        <v>0.59547992766342994</v>
      </c>
      <c r="J216" s="522">
        <f t="shared" si="127"/>
        <v>0.59221668223565527</v>
      </c>
      <c r="K216" s="522">
        <f t="shared" si="127"/>
        <v>0.58470190844107228</v>
      </c>
      <c r="L216" s="522">
        <f t="shared" si="127"/>
        <v>0.5916998885207998</v>
      </c>
      <c r="M216" s="522">
        <f t="shared" si="127"/>
        <v>0.58934655948790271</v>
      </c>
      <c r="N216" s="522">
        <f t="shared" si="127"/>
        <v>0.58976638228239386</v>
      </c>
      <c r="O216" s="522">
        <f t="shared" si="127"/>
        <v>0.60427095903125794</v>
      </c>
      <c r="P216" s="522">
        <f t="shared" si="127"/>
        <v>0.59131989685617004</v>
      </c>
      <c r="Q216" s="522">
        <f t="shared" si="127"/>
        <v>0.57899610196205387</v>
      </c>
    </row>
    <row r="218" spans="3:20" x14ac:dyDescent="0.35">
      <c r="C218" s="15" t="s">
        <v>385</v>
      </c>
      <c r="E218" s="985">
        <v>2011</v>
      </c>
      <c r="F218" s="986">
        <v>2012</v>
      </c>
      <c r="G218" s="986">
        <v>2013</v>
      </c>
      <c r="H218" s="986">
        <v>2014</v>
      </c>
      <c r="I218" s="986">
        <v>2015</v>
      </c>
      <c r="J218" s="986">
        <v>2016</v>
      </c>
      <c r="K218" s="987">
        <v>2017</v>
      </c>
      <c r="L218" s="987">
        <v>2018</v>
      </c>
      <c r="M218" s="987">
        <v>2019</v>
      </c>
      <c r="N218" s="987">
        <v>2020</v>
      </c>
      <c r="O218" s="987">
        <v>2021</v>
      </c>
      <c r="P218" s="987">
        <v>2022</v>
      </c>
      <c r="Q218" s="988">
        <v>2023</v>
      </c>
    </row>
    <row r="219" spans="3:20" x14ac:dyDescent="0.35">
      <c r="C219" s="93" t="s">
        <v>386</v>
      </c>
      <c r="E219" s="499"/>
      <c r="F219" s="390"/>
      <c r="G219" s="390"/>
      <c r="H219" s="390"/>
      <c r="I219" s="390"/>
      <c r="J219" s="390"/>
      <c r="K219" s="390">
        <f t="shared" ref="K219:Q219" si="128">$K$213</f>
        <v>0.10771971936896571</v>
      </c>
      <c r="L219" s="390">
        <f t="shared" si="128"/>
        <v>0.10771971936896571</v>
      </c>
      <c r="M219" s="390">
        <f t="shared" si="128"/>
        <v>0.10771971936896571</v>
      </c>
      <c r="N219" s="390">
        <f t="shared" si="128"/>
        <v>0.10771971936896571</v>
      </c>
      <c r="O219" s="390">
        <f t="shared" si="128"/>
        <v>0.10771971936896571</v>
      </c>
      <c r="P219" s="390">
        <f t="shared" si="128"/>
        <v>0.10771971936896571</v>
      </c>
      <c r="Q219" s="391">
        <f t="shared" si="128"/>
        <v>0.10771971936896571</v>
      </c>
    </row>
    <row r="220" spans="3:20" x14ac:dyDescent="0.35">
      <c r="C220" s="94" t="s">
        <v>387</v>
      </c>
      <c r="E220" s="74"/>
      <c r="K220">
        <f>K219*K209</f>
        <v>5453.117353178548</v>
      </c>
      <c r="L220">
        <f t="shared" ref="L220:Q220" si="129">L219*L209</f>
        <v>5844.3028581751532</v>
      </c>
      <c r="M220">
        <f t="shared" si="129"/>
        <v>6535.7461984801103</v>
      </c>
      <c r="N220">
        <f t="shared" si="129"/>
        <v>5333.7322625455126</v>
      </c>
      <c r="O220">
        <f t="shared" si="129"/>
        <v>5872.0903424561766</v>
      </c>
      <c r="P220">
        <f t="shared" si="129"/>
        <v>6283.8119064591328</v>
      </c>
      <c r="Q220" s="31">
        <f t="shared" si="129"/>
        <v>6665.7028792424871</v>
      </c>
    </row>
    <row r="221" spans="3:20" x14ac:dyDescent="0.35">
      <c r="C221" s="94" t="s">
        <v>388</v>
      </c>
      <c r="E221" s="74"/>
      <c r="K221">
        <f t="shared" ref="K221:P221" si="130">K220-K155</f>
        <v>0</v>
      </c>
      <c r="L221">
        <f t="shared" si="130"/>
        <v>-1.2733771971234091</v>
      </c>
      <c r="M221">
        <f t="shared" si="130"/>
        <v>321.80600619768575</v>
      </c>
      <c r="N221">
        <f t="shared" si="130"/>
        <v>408.41977369509641</v>
      </c>
      <c r="O221">
        <f t="shared" si="130"/>
        <v>643.4032484753443</v>
      </c>
      <c r="P221">
        <f t="shared" si="130"/>
        <v>1024.4279288134985</v>
      </c>
      <c r="Q221" s="31">
        <f>Q220-Q155</f>
        <v>1345.3685099036366</v>
      </c>
    </row>
    <row r="222" spans="3:20" x14ac:dyDescent="0.35">
      <c r="C222" s="95" t="s">
        <v>389</v>
      </c>
      <c r="D222">
        <f>SUM(K221:Q221)</f>
        <v>3742.1520898881381</v>
      </c>
      <c r="E222" s="99"/>
      <c r="F222" s="100"/>
      <c r="G222" s="100"/>
      <c r="H222" s="100"/>
      <c r="I222" s="100"/>
      <c r="J222" s="100"/>
      <c r="K222" s="100"/>
      <c r="L222" s="100"/>
      <c r="M222" s="100"/>
      <c r="N222" s="100"/>
      <c r="O222" s="100"/>
      <c r="P222" s="100"/>
      <c r="Q222" s="33"/>
    </row>
    <row r="224" spans="3:20" x14ac:dyDescent="0.35">
      <c r="C224" s="15" t="s">
        <v>390</v>
      </c>
      <c r="E224" s="1239">
        <v>2011</v>
      </c>
      <c r="F224" s="1240">
        <v>2012</v>
      </c>
      <c r="G224" s="1240">
        <v>2013</v>
      </c>
      <c r="H224" s="1240">
        <v>2014</v>
      </c>
      <c r="I224" s="1240">
        <v>2015</v>
      </c>
      <c r="J224" s="1240">
        <v>2016</v>
      </c>
      <c r="K224" s="1241">
        <v>2017</v>
      </c>
      <c r="L224" s="1241">
        <v>2018</v>
      </c>
      <c r="M224" s="1241">
        <v>2019</v>
      </c>
      <c r="N224" s="1241">
        <v>2020</v>
      </c>
      <c r="O224" s="1241">
        <v>2021</v>
      </c>
      <c r="P224" s="1241">
        <v>2022</v>
      </c>
      <c r="Q224" s="1242">
        <v>2023</v>
      </c>
    </row>
    <row r="225" spans="3:17" x14ac:dyDescent="0.35">
      <c r="C225" s="94" t="s">
        <v>391</v>
      </c>
      <c r="E225" s="72">
        <v>169705885527.83011</v>
      </c>
      <c r="F225" s="73">
        <v>175746653022.54001</v>
      </c>
      <c r="G225" s="73">
        <v>180960430411.84982</v>
      </c>
      <c r="H225" s="73">
        <v>185269842526.45993</v>
      </c>
      <c r="I225" s="73">
        <v>188073135351.02008</v>
      </c>
      <c r="J225" s="73">
        <v>188554400690.01007</v>
      </c>
      <c r="K225" s="73">
        <v>192487742032.25995</v>
      </c>
      <c r="L225" s="73">
        <v>193745121981.94006</v>
      </c>
      <c r="M225" s="73">
        <v>197357100500.76984</v>
      </c>
      <c r="N225" s="73">
        <v>197262252915.46024</v>
      </c>
      <c r="O225" s="73">
        <v>203540951521.72006</v>
      </c>
      <c r="P225" s="73">
        <v>214008433344.40997</v>
      </c>
      <c r="Q225" s="29">
        <v>227168466900.85007</v>
      </c>
    </row>
    <row r="226" spans="3:17" x14ac:dyDescent="0.35">
      <c r="C226" s="94" t="s">
        <v>392</v>
      </c>
      <c r="E226" s="99">
        <v>58873002863.410011</v>
      </c>
      <c r="F226" s="100">
        <v>59754932560.540009</v>
      </c>
      <c r="G226" s="100">
        <v>62302931373.739983</v>
      </c>
      <c r="H226" s="100">
        <v>57016429328.519966</v>
      </c>
      <c r="I226" s="100">
        <v>52249094191.330009</v>
      </c>
      <c r="J226" s="100">
        <v>51556666243.589981</v>
      </c>
      <c r="K226" s="100">
        <v>55069949921.599983</v>
      </c>
      <c r="L226" s="100">
        <v>58034072303.900002</v>
      </c>
      <c r="M226" s="100">
        <v>65456646880.459969</v>
      </c>
      <c r="N226" s="100">
        <v>60854299510.400009</v>
      </c>
      <c r="O226" s="100">
        <v>65080284100.730003</v>
      </c>
      <c r="P226" s="100">
        <v>69803307235.309998</v>
      </c>
      <c r="Q226" s="33">
        <v>74862421655.479965</v>
      </c>
    </row>
    <row r="227" spans="3:17" x14ac:dyDescent="0.35">
      <c r="C227" s="1291"/>
    </row>
    <row r="230" spans="3:17" x14ac:dyDescent="0.35">
      <c r="C230" s="15" t="s">
        <v>393</v>
      </c>
      <c r="E230" s="396">
        <v>2023</v>
      </c>
      <c r="F230" s="396" t="s">
        <v>331</v>
      </c>
    </row>
    <row r="231" spans="3:17" x14ac:dyDescent="0.35">
      <c r="C231" s="93" t="s">
        <v>394</v>
      </c>
      <c r="E231" s="1096">
        <f>Q226/10^6</f>
        <v>74862.421655479964</v>
      </c>
      <c r="F231" s="1292">
        <f>100%</f>
        <v>1</v>
      </c>
    </row>
    <row r="232" spans="3:17" x14ac:dyDescent="0.35">
      <c r="C232" s="94" t="s">
        <v>395</v>
      </c>
      <c r="E232" s="1293">
        <f>E231-E233</f>
        <v>39184.107150693519</v>
      </c>
      <c r="F232" s="1294">
        <f>E232/E231</f>
        <v>0.52341490275348612</v>
      </c>
    </row>
    <row r="233" spans="3:17" x14ac:dyDescent="0.35">
      <c r="C233" s="94" t="s">
        <v>396</v>
      </c>
      <c r="E233" s="1293">
        <f>E107</f>
        <v>35678.314504786445</v>
      </c>
      <c r="F233" s="1294">
        <f>E233/E231</f>
        <v>0.47658509724651388</v>
      </c>
    </row>
    <row r="234" spans="3:17" x14ac:dyDescent="0.35">
      <c r="C234" s="94" t="s">
        <v>397</v>
      </c>
      <c r="E234" s="1293">
        <f>E233-E235</f>
        <v>30422.180135447594</v>
      </c>
      <c r="F234" s="1294">
        <f>E234/E231</f>
        <v>0.40637451290918369</v>
      </c>
    </row>
    <row r="235" spans="3:17" x14ac:dyDescent="0.35">
      <c r="C235" s="95" t="s">
        <v>398</v>
      </c>
      <c r="E235" s="1295">
        <f>F107</f>
        <v>5256.1343693388517</v>
      </c>
      <c r="F235" s="1296">
        <f>E235/E231</f>
        <v>7.0210584337330212E-2</v>
      </c>
    </row>
    <row r="236" spans="3:17" x14ac:dyDescent="0.35">
      <c r="E236" s="83"/>
      <c r="F236" s="83"/>
    </row>
    <row r="237" spans="3:17" x14ac:dyDescent="0.35">
      <c r="E237" s="396">
        <v>2023</v>
      </c>
      <c r="F237" s="396" t="s">
        <v>331</v>
      </c>
    </row>
    <row r="238" spans="3:17" x14ac:dyDescent="0.35">
      <c r="C238" s="93" t="s">
        <v>399</v>
      </c>
      <c r="E238" s="1096">
        <f>Q225/10^6</f>
        <v>227168.46690085006</v>
      </c>
      <c r="F238" s="1292">
        <f>1</f>
        <v>1</v>
      </c>
    </row>
    <row r="239" spans="3:17" x14ac:dyDescent="0.35">
      <c r="C239" s="94" t="s">
        <v>400</v>
      </c>
      <c r="E239" s="1297">
        <f>E108</f>
        <v>7937.6298980787105</v>
      </c>
      <c r="F239" s="1294">
        <f>E239/E238</f>
        <v>3.4941600858464074E-2</v>
      </c>
    </row>
    <row r="240" spans="3:17" ht="15.65" customHeight="1" x14ac:dyDescent="0.35">
      <c r="C240" s="94" t="s">
        <v>401</v>
      </c>
      <c r="E240" s="1297">
        <f>E238-E239</f>
        <v>219230.83700277135</v>
      </c>
      <c r="F240" s="1294">
        <f>E240/E238</f>
        <v>0.96505839914153591</v>
      </c>
    </row>
    <row r="241" spans="3:6" ht="15.65" customHeight="1" x14ac:dyDescent="0.35">
      <c r="C241" s="94" t="s">
        <v>402</v>
      </c>
      <c r="E241" s="1293">
        <f>E239-E242</f>
        <v>5103.4843664566433</v>
      </c>
      <c r="F241" s="1294">
        <f>E241/E238</f>
        <v>2.2465637225452202E-2</v>
      </c>
    </row>
    <row r="242" spans="3:6" x14ac:dyDescent="0.35">
      <c r="C242" s="95" t="s">
        <v>403</v>
      </c>
      <c r="E242" s="1295">
        <f>F108</f>
        <v>2834.1455316220672</v>
      </c>
      <c r="F242" s="1296">
        <f>E242/E238</f>
        <v>1.2475963633011875E-2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4F9CC-34E0-4A8E-A0BB-2646AF681C49}">
  <sheetPr>
    <tabColor theme="2" tint="-9.9978637043366805E-2"/>
  </sheetPr>
  <dimension ref="A1:C45"/>
  <sheetViews>
    <sheetView zoomScale="55" zoomScaleNormal="55" workbookViewId="0">
      <selection activeCell="J18" sqref="J18"/>
    </sheetView>
  </sheetViews>
  <sheetFormatPr baseColWidth="10" defaultColWidth="11.453125" defaultRowHeight="14.5" x14ac:dyDescent="0.35"/>
  <sheetData>
    <row r="1" spans="1:3" ht="15" x14ac:dyDescent="0.35">
      <c r="A1" s="1126" t="s">
        <v>404</v>
      </c>
      <c r="B1" s="2"/>
      <c r="C1" s="2"/>
    </row>
    <row r="2" spans="1:3" x14ac:dyDescent="0.35">
      <c r="A2" s="2"/>
      <c r="B2" s="2"/>
      <c r="C2" s="2"/>
    </row>
    <row r="3" spans="1:3" x14ac:dyDescent="0.35">
      <c r="A3" s="2" t="s">
        <v>405</v>
      </c>
      <c r="B3" s="2"/>
      <c r="C3" s="2"/>
    </row>
    <row r="4" spans="1:3" ht="15" x14ac:dyDescent="0.35">
      <c r="A4" s="1127" t="s">
        <v>322</v>
      </c>
      <c r="B4" s="1127" t="s">
        <v>406</v>
      </c>
      <c r="C4" s="1127" t="s">
        <v>407</v>
      </c>
    </row>
    <row r="5" spans="1:3" x14ac:dyDescent="0.35">
      <c r="A5" s="1128">
        <v>2025</v>
      </c>
      <c r="B5" s="527">
        <v>68606</v>
      </c>
      <c r="C5" s="527">
        <v>66352</v>
      </c>
    </row>
    <row r="6" spans="1:3" x14ac:dyDescent="0.35">
      <c r="A6" s="1128">
        <v>2024</v>
      </c>
      <c r="B6" s="527">
        <v>68437</v>
      </c>
      <c r="C6" s="527">
        <v>66193</v>
      </c>
    </row>
    <row r="7" spans="1:3" x14ac:dyDescent="0.35">
      <c r="A7" s="1128">
        <v>2023</v>
      </c>
      <c r="B7" s="527">
        <v>68246</v>
      </c>
      <c r="C7" s="527">
        <v>66017</v>
      </c>
    </row>
    <row r="8" spans="1:3" x14ac:dyDescent="0.35">
      <c r="A8" s="1129">
        <v>2022</v>
      </c>
      <c r="B8" s="527">
        <v>68060</v>
      </c>
      <c r="C8" s="527">
        <v>65846</v>
      </c>
    </row>
    <row r="9" spans="1:3" x14ac:dyDescent="0.35">
      <c r="A9" s="1129">
        <v>2021</v>
      </c>
      <c r="B9" s="527">
        <v>67697</v>
      </c>
      <c r="C9" s="527">
        <v>65505</v>
      </c>
    </row>
    <row r="10" spans="1:3" x14ac:dyDescent="0.35">
      <c r="A10" s="1129">
        <v>2020</v>
      </c>
      <c r="B10" s="527">
        <v>67442</v>
      </c>
      <c r="C10" s="527">
        <v>65269</v>
      </c>
    </row>
    <row r="11" spans="1:3" x14ac:dyDescent="0.35">
      <c r="A11" s="1129">
        <v>2019</v>
      </c>
      <c r="B11" s="527">
        <v>67258</v>
      </c>
      <c r="C11" s="527">
        <v>65097</v>
      </c>
    </row>
    <row r="12" spans="1:3" x14ac:dyDescent="0.35">
      <c r="A12" s="1129">
        <v>2018</v>
      </c>
      <c r="B12" s="527">
        <v>66992</v>
      </c>
      <c r="C12" s="527">
        <v>64844</v>
      </c>
    </row>
    <row r="13" spans="1:3" x14ac:dyDescent="0.35">
      <c r="A13" s="1129">
        <v>2017</v>
      </c>
      <c r="B13" s="527">
        <v>66774</v>
      </c>
      <c r="C13" s="527">
        <v>64639</v>
      </c>
    </row>
    <row r="14" spans="1:3" x14ac:dyDescent="0.35">
      <c r="A14" s="1129">
        <v>2016</v>
      </c>
      <c r="B14" s="527">
        <v>66603</v>
      </c>
      <c r="C14" s="527">
        <v>64469</v>
      </c>
    </row>
    <row r="15" spans="1:3" x14ac:dyDescent="0.35">
      <c r="A15" s="1129">
        <v>2015</v>
      </c>
      <c r="B15" s="527">
        <v>66422</v>
      </c>
      <c r="C15" s="527">
        <v>64301</v>
      </c>
    </row>
    <row r="16" spans="1:3" x14ac:dyDescent="0.35">
      <c r="A16" s="1129">
        <v>2014</v>
      </c>
      <c r="B16" s="527">
        <v>66131</v>
      </c>
      <c r="C16" s="527">
        <v>64028</v>
      </c>
    </row>
    <row r="17" spans="1:3" x14ac:dyDescent="0.35">
      <c r="A17" s="1129">
        <v>2013</v>
      </c>
      <c r="B17" s="527">
        <v>65565</v>
      </c>
      <c r="C17" s="527">
        <v>63698</v>
      </c>
    </row>
    <row r="18" spans="1:3" x14ac:dyDescent="0.35">
      <c r="A18" s="1129">
        <v>2012</v>
      </c>
      <c r="B18" s="527">
        <v>65241</v>
      </c>
      <c r="C18" s="527">
        <v>63376</v>
      </c>
    </row>
    <row r="19" spans="1:3" x14ac:dyDescent="0.35">
      <c r="A19" s="1129">
        <v>2011</v>
      </c>
      <c r="B19" s="527">
        <v>64933</v>
      </c>
      <c r="C19" s="527">
        <v>63070</v>
      </c>
    </row>
    <row r="20" spans="1:3" x14ac:dyDescent="0.35">
      <c r="A20" s="1129">
        <v>2010</v>
      </c>
      <c r="B20" s="527">
        <v>64613</v>
      </c>
      <c r="C20" s="527">
        <v>62765</v>
      </c>
    </row>
    <row r="21" spans="1:3" x14ac:dyDescent="0.35">
      <c r="A21" s="1129">
        <v>2009</v>
      </c>
      <c r="B21" s="527">
        <v>64305</v>
      </c>
      <c r="C21" s="527">
        <v>62466</v>
      </c>
    </row>
    <row r="22" spans="1:3" x14ac:dyDescent="0.35">
      <c r="A22" s="1129">
        <v>2008</v>
      </c>
      <c r="B22" s="527">
        <v>63962</v>
      </c>
      <c r="C22" s="527">
        <v>62135</v>
      </c>
    </row>
    <row r="23" spans="1:3" x14ac:dyDescent="0.35">
      <c r="A23" s="1129">
        <v>2007</v>
      </c>
      <c r="B23" s="527">
        <v>63601</v>
      </c>
      <c r="C23" s="527">
        <v>61795</v>
      </c>
    </row>
    <row r="24" spans="1:3" x14ac:dyDescent="0.35">
      <c r="A24" s="1129">
        <v>2006</v>
      </c>
      <c r="B24" s="527">
        <v>63186</v>
      </c>
      <c r="C24" s="527">
        <v>61400</v>
      </c>
    </row>
    <row r="25" spans="1:3" x14ac:dyDescent="0.35">
      <c r="A25" s="1129">
        <v>2005</v>
      </c>
      <c r="B25" s="527">
        <v>62731</v>
      </c>
      <c r="C25" s="527">
        <v>60963</v>
      </c>
    </row>
    <row r="26" spans="1:3" x14ac:dyDescent="0.35">
      <c r="A26" s="1129">
        <v>2004</v>
      </c>
      <c r="B26" s="527">
        <v>62251</v>
      </c>
      <c r="C26" s="527">
        <v>60505</v>
      </c>
    </row>
    <row r="27" spans="1:3" x14ac:dyDescent="0.35">
      <c r="A27" s="1129">
        <v>2003</v>
      </c>
      <c r="B27" s="527">
        <v>61824</v>
      </c>
      <c r="C27" s="527">
        <v>60102</v>
      </c>
    </row>
    <row r="28" spans="1:3" x14ac:dyDescent="0.35">
      <c r="A28" s="1129">
        <v>2002</v>
      </c>
      <c r="B28" s="527">
        <v>61385</v>
      </c>
      <c r="C28" s="527">
        <v>59686</v>
      </c>
    </row>
    <row r="29" spans="1:3" x14ac:dyDescent="0.35">
      <c r="A29" s="1129">
        <v>2001</v>
      </c>
      <c r="B29" s="527">
        <v>60941</v>
      </c>
      <c r="C29" s="527">
        <v>59267</v>
      </c>
    </row>
    <row r="30" spans="1:3" x14ac:dyDescent="0.35">
      <c r="A30" s="1129">
        <v>2000</v>
      </c>
      <c r="B30" s="527">
        <v>60508</v>
      </c>
      <c r="C30" s="527">
        <v>58858</v>
      </c>
    </row>
    <row r="31" spans="1:3" x14ac:dyDescent="0.35">
      <c r="A31" s="1129">
        <v>1999</v>
      </c>
      <c r="B31" s="527">
        <v>60123</v>
      </c>
      <c r="C31" s="527">
        <v>58497</v>
      </c>
    </row>
    <row r="32" spans="1:3" x14ac:dyDescent="0.35">
      <c r="A32" s="1129">
        <v>1998</v>
      </c>
      <c r="B32" s="527">
        <v>59899</v>
      </c>
      <c r="C32" s="527">
        <v>58299</v>
      </c>
    </row>
    <row r="33" spans="1:3" x14ac:dyDescent="0.35">
      <c r="A33" s="1129">
        <v>1997</v>
      </c>
      <c r="B33" s="527">
        <v>59691</v>
      </c>
      <c r="C33" s="527">
        <v>58116</v>
      </c>
    </row>
    <row r="34" spans="1:3" x14ac:dyDescent="0.35">
      <c r="A34" s="1129">
        <v>1996</v>
      </c>
      <c r="B34" s="527">
        <v>59487</v>
      </c>
      <c r="C34" s="527">
        <v>57936</v>
      </c>
    </row>
    <row r="35" spans="1:3" x14ac:dyDescent="0.35">
      <c r="A35" s="1129">
        <v>1995</v>
      </c>
      <c r="B35" s="527">
        <v>59281</v>
      </c>
      <c r="C35" s="527">
        <v>57753</v>
      </c>
    </row>
    <row r="36" spans="1:3" x14ac:dyDescent="0.35">
      <c r="A36" s="1129">
        <v>1994</v>
      </c>
      <c r="B36" s="527">
        <v>59070</v>
      </c>
      <c r="C36" s="527">
        <v>57565</v>
      </c>
    </row>
    <row r="37" spans="1:3" x14ac:dyDescent="0.35">
      <c r="A37" s="1129">
        <v>1993</v>
      </c>
      <c r="B37" s="527">
        <v>58852</v>
      </c>
      <c r="C37" s="527">
        <v>57369</v>
      </c>
    </row>
    <row r="38" spans="1:3" x14ac:dyDescent="0.35">
      <c r="A38" s="1129">
        <v>1992</v>
      </c>
      <c r="B38" s="527">
        <v>58571</v>
      </c>
      <c r="C38" s="527">
        <v>57111</v>
      </c>
    </row>
    <row r="39" spans="1:3" x14ac:dyDescent="0.35">
      <c r="A39" s="1129">
        <v>1991</v>
      </c>
      <c r="B39" s="527">
        <v>58280</v>
      </c>
      <c r="C39" s="527">
        <v>56841</v>
      </c>
    </row>
    <row r="40" spans="1:3" x14ac:dyDescent="0.35">
      <c r="A40" s="1129">
        <v>1990</v>
      </c>
      <c r="B40" s="527">
        <v>57996</v>
      </c>
      <c r="C40" s="527">
        <v>56577</v>
      </c>
    </row>
    <row r="41" spans="1:3" x14ac:dyDescent="0.35">
      <c r="A41" s="1130" t="s">
        <v>408</v>
      </c>
      <c r="B41" s="527"/>
      <c r="C41" s="527"/>
    </row>
    <row r="42" spans="1:3" x14ac:dyDescent="0.35">
      <c r="A42" s="1130" t="s">
        <v>409</v>
      </c>
      <c r="B42" s="527"/>
      <c r="C42" s="527"/>
    </row>
    <row r="43" spans="1:3" x14ac:dyDescent="0.35">
      <c r="A43" s="1131" t="s">
        <v>410</v>
      </c>
      <c r="B43" s="2"/>
      <c r="C43" s="2"/>
    </row>
    <row r="44" spans="1:3" x14ac:dyDescent="0.35">
      <c r="A44" s="1130" t="s">
        <v>411</v>
      </c>
      <c r="B44" s="2"/>
      <c r="C44" s="2"/>
    </row>
    <row r="45" spans="1:3" x14ac:dyDescent="0.35">
      <c r="A45" s="1130" t="s">
        <v>412</v>
      </c>
      <c r="B45" s="2"/>
      <c r="C4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38B05-A207-48FE-9996-B9E306D189ED}">
  <dimension ref="A1:AC86"/>
  <sheetViews>
    <sheetView showGridLines="0" zoomScale="40" zoomScaleNormal="40" workbookViewId="0">
      <pane ySplit="1" topLeftCell="A2" activePane="bottomLeft" state="frozen"/>
      <selection pane="bottomLeft" activeCell="D43" sqref="D43"/>
    </sheetView>
  </sheetViews>
  <sheetFormatPr baseColWidth="10" defaultColWidth="11.453125" defaultRowHeight="14.5" x14ac:dyDescent="0.35"/>
  <cols>
    <col min="1" max="1" width="31.453125" customWidth="1"/>
    <col min="2" max="2" width="13.54296875" customWidth="1"/>
    <col min="4" max="4" width="46.54296875" customWidth="1"/>
    <col min="5" max="7" width="12.453125" bestFit="1" customWidth="1"/>
    <col min="8" max="8" width="18.1796875" customWidth="1"/>
    <col min="9" max="10" width="13.453125" bestFit="1" customWidth="1"/>
    <col min="11" max="11" width="15" bestFit="1" customWidth="1"/>
  </cols>
  <sheetData>
    <row r="1" spans="1:29" ht="21" x14ac:dyDescent="0.35">
      <c r="A1" s="103" t="s">
        <v>413</v>
      </c>
      <c r="B1" s="103" t="s">
        <v>414</v>
      </c>
      <c r="C1" s="1" t="s">
        <v>415</v>
      </c>
      <c r="G1" s="2"/>
      <c r="H1" s="175">
        <v>2011</v>
      </c>
      <c r="I1" s="176">
        <v>2012</v>
      </c>
      <c r="J1" s="176">
        <v>2013</v>
      </c>
      <c r="K1" s="176">
        <v>2014</v>
      </c>
      <c r="L1" s="176">
        <v>2015</v>
      </c>
      <c r="M1" s="176">
        <v>2016</v>
      </c>
      <c r="N1" s="176">
        <v>2017</v>
      </c>
      <c r="O1" s="176">
        <v>2018</v>
      </c>
      <c r="P1" s="176">
        <v>2019</v>
      </c>
      <c r="Q1" s="176">
        <v>2020</v>
      </c>
      <c r="R1" s="176">
        <v>2021</v>
      </c>
      <c r="S1" s="176">
        <v>2022</v>
      </c>
      <c r="T1" s="177">
        <v>2023</v>
      </c>
      <c r="V1" s="541"/>
      <c r="W1" s="541"/>
      <c r="X1" s="541"/>
      <c r="Y1" s="541"/>
      <c r="Z1" s="541"/>
      <c r="AA1" s="541"/>
      <c r="AB1" s="541"/>
      <c r="AC1" s="397"/>
    </row>
    <row r="3" spans="1:29" x14ac:dyDescent="0.35">
      <c r="C3" s="7" t="s">
        <v>416</v>
      </c>
    </row>
    <row r="4" spans="1:29" x14ac:dyDescent="0.35">
      <c r="C4" t="s">
        <v>417</v>
      </c>
    </row>
    <row r="6" spans="1:29" x14ac:dyDescent="0.35">
      <c r="C6" s="7" t="s">
        <v>418</v>
      </c>
    </row>
    <row r="23" spans="1:16" x14ac:dyDescent="0.35">
      <c r="C23" t="s">
        <v>419</v>
      </c>
    </row>
    <row r="24" spans="1:16" x14ac:dyDescent="0.35">
      <c r="C24" t="s">
        <v>420</v>
      </c>
    </row>
    <row r="26" spans="1:16" s="8" customFormat="1" ht="21" x14ac:dyDescent="0.5">
      <c r="C26" s="9" t="s">
        <v>421</v>
      </c>
      <c r="P26" s="10"/>
    </row>
    <row r="28" spans="1:16" x14ac:dyDescent="0.35">
      <c r="C28" s="7" t="s">
        <v>422</v>
      </c>
    </row>
    <row r="29" spans="1:16" x14ac:dyDescent="0.35">
      <c r="C29" s="104" t="s">
        <v>423</v>
      </c>
    </row>
    <row r="30" spans="1:16" x14ac:dyDescent="0.35">
      <c r="A30" t="s">
        <v>424</v>
      </c>
      <c r="B30" s="102">
        <v>45645</v>
      </c>
      <c r="C30" t="s">
        <v>425</v>
      </c>
    </row>
    <row r="31" spans="1:16" x14ac:dyDescent="0.35">
      <c r="C31" s="104" t="s">
        <v>426</v>
      </c>
    </row>
    <row r="33" spans="1:20" x14ac:dyDescent="0.35">
      <c r="C33" s="7" t="s">
        <v>427</v>
      </c>
    </row>
    <row r="35" spans="1:20" x14ac:dyDescent="0.35">
      <c r="A35" t="s">
        <v>428</v>
      </c>
      <c r="B35" s="102">
        <v>45645</v>
      </c>
      <c r="C35" s="15" t="s">
        <v>429</v>
      </c>
      <c r="H35" s="11" t="s">
        <v>430</v>
      </c>
      <c r="N35" s="83"/>
    </row>
    <row r="36" spans="1:20" x14ac:dyDescent="0.35">
      <c r="C36" s="16"/>
      <c r="D36" s="17"/>
      <c r="E36" s="17" t="s">
        <v>431</v>
      </c>
      <c r="F36" s="23" t="s">
        <v>432</v>
      </c>
      <c r="H36" s="181">
        <v>2011</v>
      </c>
      <c r="I36" s="182">
        <v>2012</v>
      </c>
      <c r="J36" s="182">
        <v>2013</v>
      </c>
      <c r="K36" s="182">
        <v>2014</v>
      </c>
      <c r="L36" s="182">
        <v>2015</v>
      </c>
      <c r="M36" s="182">
        <v>2016</v>
      </c>
      <c r="N36" s="45">
        <v>2017</v>
      </c>
      <c r="O36" s="45">
        <v>2018</v>
      </c>
      <c r="P36" s="45">
        <v>2019</v>
      </c>
      <c r="Q36" s="45">
        <v>2020</v>
      </c>
      <c r="R36" s="45">
        <v>2021</v>
      </c>
      <c r="S36" s="45">
        <v>2022</v>
      </c>
      <c r="T36" s="46">
        <v>2023</v>
      </c>
    </row>
    <row r="37" spans="1:20" x14ac:dyDescent="0.35">
      <c r="C37" s="18" t="s">
        <v>433</v>
      </c>
      <c r="D37" s="19"/>
      <c r="E37" s="19"/>
      <c r="F37" s="24"/>
      <c r="H37" s="44"/>
      <c r="I37" s="45"/>
      <c r="J37" s="45"/>
      <c r="K37" s="45"/>
      <c r="L37" s="45"/>
      <c r="M37" s="45"/>
      <c r="N37" s="45"/>
      <c r="O37" s="45"/>
      <c r="P37" s="45"/>
      <c r="Q37" s="45"/>
      <c r="R37" s="45"/>
      <c r="S37" s="45"/>
      <c r="T37" s="46"/>
    </row>
    <row r="38" spans="1:20" x14ac:dyDescent="0.35">
      <c r="C38" s="14" t="s">
        <v>434</v>
      </c>
      <c r="D38" s="2"/>
      <c r="E38" s="25" t="s">
        <v>435</v>
      </c>
      <c r="F38" s="26"/>
      <c r="H38" s="187">
        <v>81.022999999999996</v>
      </c>
      <c r="I38" s="185">
        <v>69.978999999999985</v>
      </c>
      <c r="J38" s="185">
        <v>68.223269999999999</v>
      </c>
      <c r="K38" s="185">
        <v>68.230613999999989</v>
      </c>
      <c r="L38" s="185">
        <v>68.719473047619033</v>
      </c>
      <c r="M38" s="185">
        <v>69.23576352380951</v>
      </c>
      <c r="N38" s="185">
        <v>69.845262744285705</v>
      </c>
      <c r="O38" s="185">
        <v>70.335194835238084</v>
      </c>
      <c r="P38" s="185">
        <v>71.176435174761892</v>
      </c>
      <c r="Q38" s="185">
        <v>72.094396768095223</v>
      </c>
      <c r="R38" s="185">
        <v>72.094396768095223</v>
      </c>
      <c r="S38" s="185">
        <v>72.094396768095223</v>
      </c>
      <c r="T38" s="188"/>
    </row>
    <row r="39" spans="1:20" x14ac:dyDescent="0.35">
      <c r="C39" s="14" t="s">
        <v>436</v>
      </c>
      <c r="D39" s="2"/>
      <c r="E39" s="25" t="s">
        <v>268</v>
      </c>
      <c r="F39" s="26" t="s">
        <v>437</v>
      </c>
      <c r="H39" s="187">
        <v>287</v>
      </c>
      <c r="I39" s="185">
        <v>289</v>
      </c>
      <c r="J39" s="185">
        <v>291</v>
      </c>
      <c r="K39" s="185">
        <v>293</v>
      </c>
      <c r="L39" s="185">
        <v>295</v>
      </c>
      <c r="M39" s="185">
        <v>297</v>
      </c>
      <c r="N39" s="185">
        <v>299</v>
      </c>
      <c r="O39" s="185">
        <v>301</v>
      </c>
      <c r="P39" s="185">
        <v>303</v>
      </c>
      <c r="Q39" s="185">
        <v>305</v>
      </c>
      <c r="R39" s="185">
        <v>307</v>
      </c>
      <c r="S39" s="185">
        <v>309</v>
      </c>
      <c r="T39" s="188"/>
    </row>
    <row r="40" spans="1:20" x14ac:dyDescent="0.35">
      <c r="C40" s="20" t="s">
        <v>438</v>
      </c>
      <c r="D40" s="21"/>
      <c r="E40" s="22" t="s">
        <v>268</v>
      </c>
      <c r="F40" s="27" t="s">
        <v>439</v>
      </c>
      <c r="H40" s="187">
        <v>571.97700000000009</v>
      </c>
      <c r="I40" s="185">
        <v>589.47100000000012</v>
      </c>
      <c r="J40" s="185">
        <v>597.67673000000013</v>
      </c>
      <c r="K40" s="185">
        <v>604.66938600000026</v>
      </c>
      <c r="L40" s="185">
        <v>611.18052695238123</v>
      </c>
      <c r="M40" s="185">
        <v>611.63595560428962</v>
      </c>
      <c r="N40" s="185">
        <v>611.99817551191234</v>
      </c>
      <c r="O40" s="185">
        <v>610.95980516476197</v>
      </c>
      <c r="P40" s="185">
        <v>615.6915648252384</v>
      </c>
      <c r="Q40" s="185">
        <v>615.24286709628495</v>
      </c>
      <c r="R40" s="185">
        <v>615.71213096066481</v>
      </c>
      <c r="S40" s="185">
        <v>613.71213096066481</v>
      </c>
      <c r="T40" s="188"/>
    </row>
    <row r="41" spans="1:20" x14ac:dyDescent="0.35">
      <c r="C41" s="18" t="s">
        <v>440</v>
      </c>
      <c r="D41" s="19"/>
      <c r="E41" s="19"/>
      <c r="F41" s="24"/>
      <c r="H41" s="189"/>
      <c r="I41" s="178"/>
      <c r="J41" s="178"/>
      <c r="K41" s="178"/>
      <c r="L41" s="178"/>
      <c r="M41" s="178"/>
      <c r="N41" s="178"/>
      <c r="O41" s="178"/>
      <c r="P41" s="178"/>
      <c r="Q41" s="178"/>
      <c r="R41" s="178"/>
      <c r="S41" s="178"/>
      <c r="T41" s="190"/>
    </row>
    <row r="42" spans="1:20" x14ac:dyDescent="0.35">
      <c r="C42" s="14" t="s">
        <v>434</v>
      </c>
      <c r="D42" s="2"/>
      <c r="E42" s="25" t="s">
        <v>435</v>
      </c>
      <c r="F42" s="26"/>
      <c r="H42" s="191">
        <v>8.6194680851063812E-2</v>
      </c>
      <c r="I42" s="186">
        <v>7.3782487215983961E-2</v>
      </c>
      <c r="J42" s="186">
        <v>7.1296133347267213E-2</v>
      </c>
      <c r="K42" s="186">
        <v>7.0639418159229694E-2</v>
      </c>
      <c r="L42" s="186">
        <v>7.0488740432474106E-2</v>
      </c>
      <c r="M42" s="186">
        <v>7.0802501155818542E-2</v>
      </c>
      <c r="N42" s="186">
        <v>7.1209389817054575E-2</v>
      </c>
      <c r="O42" s="186">
        <v>7.1602924615556507E-2</v>
      </c>
      <c r="P42" s="186">
        <v>7.1904976395602116E-2</v>
      </c>
      <c r="Q42" s="186">
        <v>7.2651103000348632E-2</v>
      </c>
      <c r="R42" s="186">
        <v>7.247077171145401E-2</v>
      </c>
      <c r="S42" s="186">
        <v>7.247077171145401E-2</v>
      </c>
      <c r="T42" s="192">
        <v>7.247077171145401E-2</v>
      </c>
    </row>
    <row r="43" spans="1:20" x14ac:dyDescent="0.35">
      <c r="C43" s="14" t="s">
        <v>436</v>
      </c>
      <c r="D43" s="2"/>
      <c r="E43" s="25" t="s">
        <v>268</v>
      </c>
      <c r="F43" s="26" t="s">
        <v>437</v>
      </c>
      <c r="H43" s="191">
        <v>0.30531914893617018</v>
      </c>
      <c r="I43" s="186">
        <v>0.30470768095313405</v>
      </c>
      <c r="J43" s="186">
        <v>0.30410701222698294</v>
      </c>
      <c r="K43" s="186">
        <v>0.3033440314732373</v>
      </c>
      <c r="L43" s="186">
        <v>0.30259513796286791</v>
      </c>
      <c r="M43" s="186">
        <v>0.30372081960281505</v>
      </c>
      <c r="N43" s="186">
        <v>0.30483968015484719</v>
      </c>
      <c r="O43" s="186">
        <v>0.30642525921439079</v>
      </c>
      <c r="P43" s="186">
        <v>0.30610141958321707</v>
      </c>
      <c r="Q43" s="186">
        <v>0.30735518165695269</v>
      </c>
      <c r="R43" s="186">
        <v>0.30860271966742198</v>
      </c>
      <c r="S43" s="186">
        <v>0.31061316083789375</v>
      </c>
      <c r="T43" s="192">
        <v>0.31061316083789375</v>
      </c>
    </row>
    <row r="44" spans="1:20" x14ac:dyDescent="0.35">
      <c r="C44" s="20" t="s">
        <v>438</v>
      </c>
      <c r="D44" s="21"/>
      <c r="E44" s="22" t="s">
        <v>268</v>
      </c>
      <c r="F44" s="27" t="s">
        <v>439</v>
      </c>
      <c r="H44" s="193">
        <v>0.60848617021276596</v>
      </c>
      <c r="I44" s="194">
        <v>0.62150983183088204</v>
      </c>
      <c r="J44" s="194">
        <v>0.62459685442574986</v>
      </c>
      <c r="K44" s="194">
        <v>0.6260165503675329</v>
      </c>
      <c r="L44" s="194">
        <v>0.62691612160465793</v>
      </c>
      <c r="M44" s="194">
        <v>0.62547667924136641</v>
      </c>
      <c r="N44" s="194">
        <v>0.62395093002809821</v>
      </c>
      <c r="O44" s="194">
        <v>0.6219718161700527</v>
      </c>
      <c r="P44" s="194">
        <v>0.62199360402118087</v>
      </c>
      <c r="Q44" s="194">
        <v>0.61999371534269865</v>
      </c>
      <c r="R44" s="194">
        <v>0.61892650862112397</v>
      </c>
      <c r="S44" s="194">
        <v>0.61691606745065208</v>
      </c>
      <c r="T44" s="195">
        <v>0.61691606745065208</v>
      </c>
    </row>
    <row r="46" spans="1:20" x14ac:dyDescent="0.35">
      <c r="H46" s="11" t="s">
        <v>430</v>
      </c>
      <c r="N46" s="83"/>
    </row>
    <row r="47" spans="1:20" x14ac:dyDescent="0.35">
      <c r="A47" t="s">
        <v>441</v>
      </c>
      <c r="B47" s="102">
        <v>45645</v>
      </c>
      <c r="C47" s="15" t="s">
        <v>442</v>
      </c>
      <c r="H47" s="181">
        <v>2011</v>
      </c>
      <c r="I47" s="182">
        <v>2012</v>
      </c>
      <c r="J47" s="182">
        <v>2013</v>
      </c>
      <c r="K47" s="182">
        <v>2014</v>
      </c>
      <c r="L47" s="182">
        <v>2015</v>
      </c>
      <c r="M47" s="182">
        <v>2016</v>
      </c>
      <c r="N47" s="45">
        <v>2017</v>
      </c>
      <c r="O47" s="45">
        <v>2018</v>
      </c>
      <c r="P47" s="45">
        <v>2019</v>
      </c>
      <c r="Q47" s="45">
        <v>2020</v>
      </c>
      <c r="R47" s="45">
        <v>2021</v>
      </c>
      <c r="S47" s="45">
        <v>2022</v>
      </c>
      <c r="T47" s="46">
        <v>2023</v>
      </c>
    </row>
    <row r="48" spans="1:20" x14ac:dyDescent="0.35">
      <c r="B48" s="102"/>
      <c r="C48" s="36" t="s">
        <v>436</v>
      </c>
      <c r="D48" s="19"/>
      <c r="E48" s="19"/>
      <c r="F48" s="24"/>
      <c r="H48" s="72"/>
      <c r="I48" s="73"/>
      <c r="J48" s="73"/>
      <c r="K48" s="73"/>
      <c r="L48" s="73"/>
      <c r="M48" s="73"/>
      <c r="N48" s="45"/>
      <c r="O48" s="45"/>
      <c r="P48" s="45"/>
      <c r="Q48" s="45"/>
      <c r="R48" s="45"/>
      <c r="S48" s="45"/>
      <c r="T48" s="46"/>
    </row>
    <row r="49" spans="1:20" x14ac:dyDescent="0.35">
      <c r="C49" s="14" t="s">
        <v>443</v>
      </c>
      <c r="D49" s="37"/>
      <c r="E49" s="37" t="s">
        <v>444</v>
      </c>
      <c r="F49" s="34" t="s">
        <v>445</v>
      </c>
      <c r="H49" s="47">
        <v>120.5335820521755</v>
      </c>
      <c r="I49" s="184">
        <v>122.20081471947269</v>
      </c>
      <c r="J49" s="184">
        <v>122.90543538467398</v>
      </c>
      <c r="K49" s="184">
        <v>126.37312351175066</v>
      </c>
      <c r="L49" s="184">
        <v>131.55635835756792</v>
      </c>
      <c r="M49" s="184">
        <v>137.0264881270499</v>
      </c>
      <c r="N49" s="184">
        <v>139.42515340095423</v>
      </c>
      <c r="O49" s="184">
        <v>147.95034308876748</v>
      </c>
      <c r="P49" s="184">
        <v>157.53047129041147</v>
      </c>
      <c r="Q49" s="184">
        <v>146.90421839985817</v>
      </c>
      <c r="R49" s="184">
        <v>165.71699434769465</v>
      </c>
      <c r="S49" s="184">
        <v>201.79522242166166</v>
      </c>
      <c r="T49" s="50">
        <v>229.85414864649707</v>
      </c>
    </row>
    <row r="50" spans="1:20" x14ac:dyDescent="0.35">
      <c r="C50" s="14" t="s">
        <v>446</v>
      </c>
      <c r="D50" s="37"/>
      <c r="E50" s="37" t="s">
        <v>268</v>
      </c>
      <c r="F50" s="34" t="s">
        <v>445</v>
      </c>
      <c r="H50" s="47">
        <v>191.15274450538917</v>
      </c>
      <c r="I50" s="184">
        <v>194.29712906535903</v>
      </c>
      <c r="J50" s="184">
        <v>206.06198416200598</v>
      </c>
      <c r="K50" s="184">
        <v>218.34703385443621</v>
      </c>
      <c r="L50" s="184">
        <v>231.3235370383085</v>
      </c>
      <c r="M50" s="184">
        <v>287.75434345308713</v>
      </c>
      <c r="N50" s="184">
        <v>345.00014417092564</v>
      </c>
      <c r="O50" s="184">
        <v>257.56431970535107</v>
      </c>
      <c r="P50" s="184">
        <v>165.9676123613277</v>
      </c>
      <c r="Q50" s="184">
        <v>160.65497576910312</v>
      </c>
      <c r="R50" s="184">
        <v>210.73720586530962</v>
      </c>
      <c r="S50" s="184">
        <v>241.05917965983116</v>
      </c>
      <c r="T50" s="50">
        <v>241.18274435098115</v>
      </c>
    </row>
    <row r="51" spans="1:20" x14ac:dyDescent="0.35">
      <c r="C51" s="14" t="s">
        <v>447</v>
      </c>
      <c r="D51" s="37"/>
      <c r="E51" s="37" t="s">
        <v>268</v>
      </c>
      <c r="F51" s="34" t="s">
        <v>448</v>
      </c>
      <c r="H51" s="47">
        <v>30.994802749819854</v>
      </c>
      <c r="I51" s="184">
        <v>34.365803702722808</v>
      </c>
      <c r="J51" s="184">
        <v>37.881617986038833</v>
      </c>
      <c r="K51" s="184">
        <v>41.861476343306748</v>
      </c>
      <c r="L51" s="184">
        <v>48.688087935485719</v>
      </c>
      <c r="M51" s="184">
        <v>56.090836321457019</v>
      </c>
      <c r="N51" s="184">
        <v>61.152378475260512</v>
      </c>
      <c r="O51" s="184">
        <v>69.898024324033017</v>
      </c>
      <c r="P51" s="184">
        <v>67.437487377047745</v>
      </c>
      <c r="Q51" s="184">
        <v>67.67482358476434</v>
      </c>
      <c r="R51" s="184">
        <v>90.828569728989891</v>
      </c>
      <c r="S51" s="184">
        <v>73.50857965034804</v>
      </c>
      <c r="T51" s="50">
        <v>59.444815822551639</v>
      </c>
    </row>
    <row r="52" spans="1:20" x14ac:dyDescent="0.35">
      <c r="C52" s="14" t="s">
        <v>449</v>
      </c>
      <c r="D52" s="37"/>
      <c r="E52" s="37" t="s">
        <v>268</v>
      </c>
      <c r="F52" s="34" t="s">
        <v>448</v>
      </c>
      <c r="H52" s="47">
        <v>82.203607293000488</v>
      </c>
      <c r="I52" s="184">
        <v>91.144088081134385</v>
      </c>
      <c r="J52" s="184">
        <v>100.46863900645081</v>
      </c>
      <c r="K52" s="184">
        <v>111.02391551920485</v>
      </c>
      <c r="L52" s="184">
        <v>129.12927669846212</v>
      </c>
      <c r="M52" s="184">
        <v>148.76265285255994</v>
      </c>
      <c r="N52" s="184">
        <v>162.18674291264747</v>
      </c>
      <c r="O52" s="184">
        <v>185.38171668547886</v>
      </c>
      <c r="P52" s="184">
        <v>178.85594478260484</v>
      </c>
      <c r="Q52" s="184">
        <v>179.48540168133155</v>
      </c>
      <c r="R52" s="184">
        <v>240.89316319427746</v>
      </c>
      <c r="S52" s="184">
        <v>194.95753733353175</v>
      </c>
      <c r="T52" s="50">
        <v>157.65798979024567</v>
      </c>
    </row>
    <row r="53" spans="1:20" x14ac:dyDescent="0.35">
      <c r="C53" s="14" t="s">
        <v>450</v>
      </c>
      <c r="D53" s="37"/>
      <c r="E53" s="37" t="s">
        <v>268</v>
      </c>
      <c r="F53" s="34" t="s">
        <v>448</v>
      </c>
      <c r="H53" s="47">
        <v>33.658924589425425</v>
      </c>
      <c r="I53" s="184">
        <v>32.210974964876435</v>
      </c>
      <c r="J53" s="184">
        <v>29.926755020209161</v>
      </c>
      <c r="K53" s="184">
        <v>26.390930738171644</v>
      </c>
      <c r="L53" s="184">
        <v>16.214291534436125</v>
      </c>
      <c r="M53" s="184">
        <v>16.293204426512382</v>
      </c>
      <c r="N53" s="184">
        <v>16.18628402749</v>
      </c>
      <c r="O53" s="184">
        <v>13.579051978541342</v>
      </c>
      <c r="P53" s="184">
        <v>9.8172495843980681</v>
      </c>
      <c r="Q53" s="184">
        <v>8.9895056098042954</v>
      </c>
      <c r="R53" s="184">
        <v>10.481798932788159</v>
      </c>
      <c r="S53" s="184">
        <v>9.74238414358312</v>
      </c>
      <c r="T53" s="50">
        <v>7.8962822066508673</v>
      </c>
    </row>
    <row r="54" spans="1:20" x14ac:dyDescent="0.35">
      <c r="C54" s="14" t="s">
        <v>451</v>
      </c>
      <c r="D54" s="37"/>
      <c r="E54" s="37" t="s">
        <v>268</v>
      </c>
      <c r="F54" s="34" t="s">
        <v>448</v>
      </c>
      <c r="H54" s="47">
        <v>54.163786695627117</v>
      </c>
      <c r="I54" s="184">
        <v>51.833752817042544</v>
      </c>
      <c r="J54" s="184">
        <v>48.157996584244628</v>
      </c>
      <c r="K54" s="184">
        <v>42.468164406253223</v>
      </c>
      <c r="L54" s="184">
        <v>26.091963388747786</v>
      </c>
      <c r="M54" s="184">
        <v>26.218949651859003</v>
      </c>
      <c r="N54" s="184">
        <v>26.046893837340235</v>
      </c>
      <c r="O54" s="184">
        <v>21.851348011445832</v>
      </c>
      <c r="P54" s="184">
        <v>15.797872894433677</v>
      </c>
      <c r="Q54" s="184">
        <v>14.4658710962368</v>
      </c>
      <c r="R54" s="184">
        <v>16.867262650463704</v>
      </c>
      <c r="S54" s="184">
        <v>15.677399771283183</v>
      </c>
      <c r="T54" s="50">
        <v>12.706661022196801</v>
      </c>
    </row>
    <row r="55" spans="1:20" x14ac:dyDescent="0.35">
      <c r="C55" s="14" t="s">
        <v>452</v>
      </c>
      <c r="D55" s="37"/>
      <c r="E55" s="37" t="s">
        <v>268</v>
      </c>
      <c r="F55" s="34" t="s">
        <v>448</v>
      </c>
      <c r="H55" s="47">
        <v>15.091698955898728</v>
      </c>
      <c r="I55" s="184">
        <v>16.467432484280042</v>
      </c>
      <c r="J55" s="184">
        <v>17.822804273222385</v>
      </c>
      <c r="K55" s="184">
        <v>19.241389947128681</v>
      </c>
      <c r="L55" s="184">
        <v>21.13581019559388</v>
      </c>
      <c r="M55" s="184">
        <v>24.103263834476756</v>
      </c>
      <c r="N55" s="184">
        <v>26.108954199800657</v>
      </c>
      <c r="O55" s="184">
        <v>29.282502251106131</v>
      </c>
      <c r="P55" s="184">
        <v>27.849015785007193</v>
      </c>
      <c r="Q55" s="184">
        <v>27.837044855281526</v>
      </c>
      <c r="R55" s="184">
        <v>37.155033601255596</v>
      </c>
      <c r="S55" s="184">
        <v>30.233839517726448</v>
      </c>
      <c r="T55" s="50">
        <v>24.451752022577242</v>
      </c>
    </row>
    <row r="56" spans="1:20" x14ac:dyDescent="0.35">
      <c r="C56" s="14" t="s">
        <v>453</v>
      </c>
      <c r="D56" s="37"/>
      <c r="E56" s="37" t="s">
        <v>268</v>
      </c>
      <c r="F56" s="34" t="s">
        <v>448</v>
      </c>
      <c r="H56" s="47">
        <v>40.02581027434011</v>
      </c>
      <c r="I56" s="184">
        <v>43.67449484961228</v>
      </c>
      <c r="J56" s="184">
        <v>47.269176550720239</v>
      </c>
      <c r="K56" s="184">
        <v>51.031512468471711</v>
      </c>
      <c r="L56" s="184">
        <v>56.055844431792472</v>
      </c>
      <c r="M56" s="184">
        <v>63.926047561003585</v>
      </c>
      <c r="N56" s="184">
        <v>69.245487225558279</v>
      </c>
      <c r="O56" s="184">
        <v>77.662288579020625</v>
      </c>
      <c r="P56" s="184">
        <v>73.86043316893209</v>
      </c>
      <c r="Q56" s="184">
        <v>73.828684181398842</v>
      </c>
      <c r="R56" s="184">
        <v>98.541610855503933</v>
      </c>
      <c r="S56" s="184">
        <v>80.185400460057082</v>
      </c>
      <c r="T56" s="50">
        <v>64.850298842487476</v>
      </c>
    </row>
    <row r="57" spans="1:20" x14ac:dyDescent="0.35">
      <c r="C57" s="14" t="s">
        <v>454</v>
      </c>
      <c r="D57" s="37"/>
      <c r="E57" s="37" t="s">
        <v>268</v>
      </c>
      <c r="F57" s="34" t="s">
        <v>448</v>
      </c>
      <c r="H57" s="47">
        <v>16.38888820113101</v>
      </c>
      <c r="I57" s="184">
        <v>15.434879977647986</v>
      </c>
      <c r="J57" s="184">
        <v>14.080145611901758</v>
      </c>
      <c r="K57" s="184">
        <v>12.130441488407213</v>
      </c>
      <c r="L57" s="184">
        <v>7.038727599694715</v>
      </c>
      <c r="M57" s="184">
        <v>7.0014895615143713</v>
      </c>
      <c r="N57" s="184">
        <v>6.9107197279279813</v>
      </c>
      <c r="O57" s="184">
        <v>5.6886961251751371</v>
      </c>
      <c r="P57" s="184">
        <v>4.0541359008922484</v>
      </c>
      <c r="Q57" s="184">
        <v>3.6977011188436113</v>
      </c>
      <c r="R57" s="184">
        <v>4.2877653222039811</v>
      </c>
      <c r="S57" s="184">
        <v>4.0070108838749716</v>
      </c>
      <c r="T57" s="50">
        <v>3.248019726289872</v>
      </c>
    </row>
    <row r="58" spans="1:20" x14ac:dyDescent="0.35">
      <c r="C58" s="14" t="s">
        <v>455</v>
      </c>
      <c r="D58" s="37"/>
      <c r="E58" s="37" t="s">
        <v>268</v>
      </c>
      <c r="F58" s="34" t="s">
        <v>448</v>
      </c>
      <c r="H58" s="47">
        <v>26.372923542049907</v>
      </c>
      <c r="I58" s="184">
        <v>24.837737895065729</v>
      </c>
      <c r="J58" s="184">
        <v>22.657705582370646</v>
      </c>
      <c r="K58" s="184">
        <v>19.520250671000113</v>
      </c>
      <c r="L58" s="184">
        <v>11.326688091462762</v>
      </c>
      <c r="M58" s="184">
        <v>11.266764811632321</v>
      </c>
      <c r="N58" s="184">
        <v>11.120698412757676</v>
      </c>
      <c r="O58" s="184">
        <v>9.154223649707113</v>
      </c>
      <c r="P58" s="184">
        <v>6.5238968520105169</v>
      </c>
      <c r="Q58" s="184">
        <v>5.950323639518456</v>
      </c>
      <c r="R58" s="184">
        <v>6.8998522426270954</v>
      </c>
      <c r="S58" s="184">
        <v>6.4480634912930572</v>
      </c>
      <c r="T58" s="50">
        <v>5.2266984101216343</v>
      </c>
    </row>
    <row r="59" spans="1:20" x14ac:dyDescent="0.35">
      <c r="C59" s="14" t="s">
        <v>456</v>
      </c>
      <c r="D59" s="37"/>
      <c r="E59" s="37" t="s">
        <v>268</v>
      </c>
      <c r="F59" s="34" t="s">
        <v>445</v>
      </c>
      <c r="H59" s="47">
        <v>18.605601108240073</v>
      </c>
      <c r="I59" s="184">
        <v>22.063942074848857</v>
      </c>
      <c r="J59" s="184">
        <v>26.415295019257112</v>
      </c>
      <c r="K59" s="184">
        <v>17.290609793974525</v>
      </c>
      <c r="L59" s="184">
        <v>13.376044414993014</v>
      </c>
      <c r="M59" s="184">
        <v>11.640990716236104</v>
      </c>
      <c r="N59" s="184">
        <v>13.024451862729428</v>
      </c>
      <c r="O59" s="184">
        <v>13.604251272130391</v>
      </c>
      <c r="P59" s="184">
        <v>22.132248917647566</v>
      </c>
      <c r="Q59" s="184">
        <v>22.298990647906649</v>
      </c>
      <c r="R59" s="184">
        <v>47.175342488833309</v>
      </c>
      <c r="S59" s="184">
        <v>67.664189695927377</v>
      </c>
      <c r="T59" s="50">
        <v>28.276877645926874</v>
      </c>
    </row>
    <row r="60" spans="1:20" x14ac:dyDescent="0.35">
      <c r="C60" s="14" t="s">
        <v>457</v>
      </c>
      <c r="D60" s="37"/>
      <c r="E60" s="37" t="s">
        <v>268</v>
      </c>
      <c r="F60" s="34" t="s">
        <v>445</v>
      </c>
      <c r="H60" s="47">
        <v>35.112462313783851</v>
      </c>
      <c r="I60" s="184">
        <v>37.344206348716547</v>
      </c>
      <c r="J60" s="184">
        <v>41.584049568435447</v>
      </c>
      <c r="K60" s="184">
        <v>60.365462263174223</v>
      </c>
      <c r="L60" s="184">
        <v>64.077860796412523</v>
      </c>
      <c r="M60" s="184">
        <v>65.824933706862481</v>
      </c>
      <c r="N60" s="184">
        <v>73.817811832684768</v>
      </c>
      <c r="O60" s="184">
        <v>87.377950262494409</v>
      </c>
      <c r="P60" s="184">
        <v>130.54383499633531</v>
      </c>
      <c r="Q60" s="184">
        <v>128.83292613585473</v>
      </c>
      <c r="R60" s="184">
        <v>203.24492993802505</v>
      </c>
      <c r="S60" s="184">
        <v>293.66343347802677</v>
      </c>
      <c r="T60" s="50">
        <v>287.04376657507345</v>
      </c>
    </row>
    <row r="61" spans="1:20" x14ac:dyDescent="0.35">
      <c r="C61" s="14" t="s">
        <v>458</v>
      </c>
      <c r="D61" s="37"/>
      <c r="E61" s="37" t="s">
        <v>268</v>
      </c>
      <c r="F61" s="34" t="s">
        <v>445</v>
      </c>
      <c r="H61" s="47">
        <v>262.24444638885132</v>
      </c>
      <c r="I61" s="184">
        <v>253.08293972362529</v>
      </c>
      <c r="J61" s="184">
        <v>248.63974515445051</v>
      </c>
      <c r="K61" s="184">
        <v>280.89657314421771</v>
      </c>
      <c r="L61" s="184">
        <v>308.65462738448264</v>
      </c>
      <c r="M61" s="184">
        <v>330.09041856660144</v>
      </c>
      <c r="N61" s="184">
        <v>376.3196568989116</v>
      </c>
      <c r="O61" s="184">
        <v>423.04739141296227</v>
      </c>
      <c r="P61" s="184">
        <v>497.47892201842416</v>
      </c>
      <c r="Q61" s="184">
        <v>460.98390183792588</v>
      </c>
      <c r="R61" s="184">
        <v>583.2624056850168</v>
      </c>
      <c r="S61" s="184">
        <v>739.26016993608664</v>
      </c>
      <c r="T61" s="50">
        <v>790.95879485261037</v>
      </c>
    </row>
    <row r="62" spans="1:20" x14ac:dyDescent="0.35">
      <c r="A62" s="1071" t="s">
        <v>459</v>
      </c>
      <c r="C62" s="38" t="s">
        <v>320</v>
      </c>
      <c r="D62" s="39"/>
      <c r="E62" s="40" t="s">
        <v>444</v>
      </c>
      <c r="F62" s="41"/>
      <c r="H62" s="48">
        <v>926.54927866973242</v>
      </c>
      <c r="I62" s="49">
        <v>938.9581967044046</v>
      </c>
      <c r="J62" s="49">
        <v>963.87134990398135</v>
      </c>
      <c r="K62" s="49">
        <v>1026.9408841494976</v>
      </c>
      <c r="L62" s="49">
        <v>1064.6691178674403</v>
      </c>
      <c r="M62" s="49">
        <v>1186.0003835908524</v>
      </c>
      <c r="N62" s="49">
        <v>1326.5453769849883</v>
      </c>
      <c r="O62" s="49">
        <v>1342.0421073462135</v>
      </c>
      <c r="P62" s="49">
        <v>1357.8491259294724</v>
      </c>
      <c r="Q62" s="49">
        <v>1301.6043685578281</v>
      </c>
      <c r="R62" s="49">
        <v>1716.0919348529892</v>
      </c>
      <c r="S62" s="49">
        <v>1958.202410443231</v>
      </c>
      <c r="T62" s="196">
        <v>1912.7988499142102</v>
      </c>
    </row>
    <row r="64" spans="1:20" x14ac:dyDescent="0.35">
      <c r="H64" s="11" t="s">
        <v>430</v>
      </c>
      <c r="N64" s="83"/>
    </row>
    <row r="65" spans="1:22" x14ac:dyDescent="0.35">
      <c r="A65" t="s">
        <v>460</v>
      </c>
      <c r="B65" s="102">
        <v>45645</v>
      </c>
      <c r="C65" s="15" t="s">
        <v>461</v>
      </c>
      <c r="H65" s="181">
        <v>2011</v>
      </c>
      <c r="I65" s="182">
        <v>2012</v>
      </c>
      <c r="J65" s="182">
        <v>2013</v>
      </c>
      <c r="K65" s="182">
        <v>2014</v>
      </c>
      <c r="L65" s="182">
        <v>2015</v>
      </c>
      <c r="M65" s="182">
        <v>2016</v>
      </c>
      <c r="N65" s="45">
        <v>2017</v>
      </c>
      <c r="O65" s="45">
        <v>2018</v>
      </c>
      <c r="P65" s="45">
        <v>2019</v>
      </c>
      <c r="Q65" s="45">
        <v>2020</v>
      </c>
      <c r="R65" s="45">
        <v>2021</v>
      </c>
      <c r="S65" s="45">
        <v>2022</v>
      </c>
      <c r="T65" s="46">
        <v>2023</v>
      </c>
    </row>
    <row r="66" spans="1:22" x14ac:dyDescent="0.35">
      <c r="C66" s="36" t="s">
        <v>436</v>
      </c>
      <c r="D66" s="19"/>
      <c r="E66" s="19"/>
      <c r="F66" s="24"/>
      <c r="H66" s="44"/>
      <c r="I66" s="45"/>
      <c r="J66" s="45"/>
      <c r="K66" s="45"/>
      <c r="L66" s="45"/>
      <c r="M66" s="45"/>
      <c r="N66" s="45"/>
      <c r="O66" s="45"/>
      <c r="P66" s="45"/>
      <c r="Q66" s="45"/>
      <c r="R66" s="45"/>
      <c r="S66" s="45"/>
      <c r="T66" s="46"/>
    </row>
    <row r="67" spans="1:22" x14ac:dyDescent="0.35">
      <c r="C67" s="14" t="s">
        <v>48</v>
      </c>
      <c r="D67" s="37"/>
      <c r="E67" s="37" t="s">
        <v>444</v>
      </c>
      <c r="F67" s="34" t="s">
        <v>445</v>
      </c>
      <c r="H67" s="47">
        <v>627.6488363684399</v>
      </c>
      <c r="I67" s="184">
        <v>628.98903193202239</v>
      </c>
      <c r="J67" s="184">
        <v>645.60650928882296</v>
      </c>
      <c r="K67" s="184">
        <v>703.2728025675533</v>
      </c>
      <c r="L67" s="184">
        <v>748.98842799176464</v>
      </c>
      <c r="M67" s="184">
        <v>832.33717456983709</v>
      </c>
      <c r="N67" s="184">
        <v>947.58721816620573</v>
      </c>
      <c r="O67" s="184">
        <v>929.54425574170557</v>
      </c>
      <c r="P67" s="184">
        <v>973.6530895841463</v>
      </c>
      <c r="Q67" s="184">
        <v>919.67501279064857</v>
      </c>
      <c r="R67" s="184">
        <v>1210.1368783248795</v>
      </c>
      <c r="S67" s="184">
        <v>1543.4421951915335</v>
      </c>
      <c r="T67" s="50">
        <v>1577.3163320710887</v>
      </c>
    </row>
    <row r="68" spans="1:22" ht="15.65" customHeight="1" x14ac:dyDescent="0.35">
      <c r="A68" s="984" t="s">
        <v>462</v>
      </c>
      <c r="C68" s="20" t="s">
        <v>49</v>
      </c>
      <c r="D68" s="42"/>
      <c r="E68" s="42" t="s">
        <v>268</v>
      </c>
      <c r="F68" s="43" t="s">
        <v>448</v>
      </c>
      <c r="H68" s="202">
        <v>298.90044230129268</v>
      </c>
      <c r="I68" s="199">
        <v>309.96916477238227</v>
      </c>
      <c r="J68" s="199">
        <v>318.26484061515839</v>
      </c>
      <c r="K68" s="199">
        <v>323.66808158194419</v>
      </c>
      <c r="L68" s="199">
        <v>315.68068987567557</v>
      </c>
      <c r="M68" s="199">
        <v>353.66320902101529</v>
      </c>
      <c r="N68" s="199">
        <v>378.95815881878286</v>
      </c>
      <c r="O68" s="199">
        <v>412.49785160450801</v>
      </c>
      <c r="P68" s="199">
        <v>384.19603634532638</v>
      </c>
      <c r="Q68" s="199">
        <v>381.9293557671794</v>
      </c>
      <c r="R68" s="199">
        <v>505.95505652810988</v>
      </c>
      <c r="S68" s="199">
        <v>414.76021525169767</v>
      </c>
      <c r="T68" s="203">
        <v>335.48251784312123</v>
      </c>
      <c r="V68" s="378" t="e">
        <f>#REF!/T68</f>
        <v>#REF!</v>
      </c>
    </row>
    <row r="69" spans="1:22" ht="15.65" customHeight="1" x14ac:dyDescent="0.35">
      <c r="C69" s="355" t="s">
        <v>463</v>
      </c>
      <c r="D69" s="121"/>
      <c r="E69" s="121" t="s">
        <v>464</v>
      </c>
      <c r="F69" s="123" t="s">
        <v>448</v>
      </c>
      <c r="H69" s="548">
        <f t="shared" ref="H69:S69" si="0">H68/H62</f>
        <v>0.32259529976692741</v>
      </c>
      <c r="I69" s="398">
        <f t="shared" si="0"/>
        <v>0.33012030339617376</v>
      </c>
      <c r="J69" s="398">
        <f t="shared" si="0"/>
        <v>0.33019431550368544</v>
      </c>
      <c r="K69" s="398">
        <f t="shared" si="0"/>
        <v>0.31517693625568616</v>
      </c>
      <c r="L69" s="398">
        <f t="shared" si="0"/>
        <v>0.29650591397634612</v>
      </c>
      <c r="M69" s="398">
        <f t="shared" si="0"/>
        <v>0.2981982248186375</v>
      </c>
      <c r="N69" s="398">
        <f t="shared" si="0"/>
        <v>0.28567297085614229</v>
      </c>
      <c r="O69" s="398">
        <f t="shared" si="0"/>
        <v>0.30736580420728471</v>
      </c>
      <c r="P69" s="398">
        <f t="shared" si="0"/>
        <v>0.28294456947294289</v>
      </c>
      <c r="Q69" s="398">
        <f t="shared" si="0"/>
        <v>0.29342968185513657</v>
      </c>
      <c r="R69" s="398">
        <f t="shared" si="0"/>
        <v>0.29482980850408402</v>
      </c>
      <c r="S69" s="398">
        <f t="shared" si="0"/>
        <v>0.21180661051163674</v>
      </c>
      <c r="T69" s="549">
        <f>T68/T62</f>
        <v>0.17538828918585336</v>
      </c>
    </row>
    <row r="70" spans="1:22" x14ac:dyDescent="0.35">
      <c r="C70" s="407"/>
      <c r="T70" s="378">
        <f>(N68-T68)/N68</f>
        <v>0.11472411917763092</v>
      </c>
    </row>
    <row r="72" spans="1:22" x14ac:dyDescent="0.35">
      <c r="A72" t="s">
        <v>465</v>
      </c>
      <c r="B72" s="102">
        <v>45298</v>
      </c>
      <c r="C72" s="15" t="s">
        <v>466</v>
      </c>
    </row>
    <row r="73" spans="1:22" x14ac:dyDescent="0.35">
      <c r="C73" s="120"/>
      <c r="D73" s="121"/>
      <c r="E73" s="121" t="s">
        <v>431</v>
      </c>
      <c r="F73" s="123" t="s">
        <v>467</v>
      </c>
      <c r="T73" s="128">
        <v>2023</v>
      </c>
    </row>
    <row r="74" spans="1:22" x14ac:dyDescent="0.35">
      <c r="C74" s="61" t="s">
        <v>443</v>
      </c>
      <c r="D74" s="88"/>
      <c r="E74" s="88" t="s">
        <v>468</v>
      </c>
      <c r="F74" s="124" t="s">
        <v>445</v>
      </c>
      <c r="T74" s="125">
        <v>58.42987067398105</v>
      </c>
    </row>
    <row r="75" spans="1:22" x14ac:dyDescent="0.35">
      <c r="C75" s="60" t="s">
        <v>446</v>
      </c>
      <c r="D75" s="37"/>
      <c r="E75" s="37" t="s">
        <v>469</v>
      </c>
      <c r="F75" s="34" t="s">
        <v>445</v>
      </c>
      <c r="T75" s="126">
        <v>1094.5765025893281</v>
      </c>
    </row>
    <row r="76" spans="1:22" x14ac:dyDescent="0.35">
      <c r="C76" s="60" t="s">
        <v>447</v>
      </c>
      <c r="D76" s="37"/>
      <c r="E76" s="37" t="s">
        <v>268</v>
      </c>
      <c r="F76" s="34" t="s">
        <v>448</v>
      </c>
      <c r="T76" s="129">
        <v>139547.28513852227</v>
      </c>
    </row>
    <row r="77" spans="1:22" x14ac:dyDescent="0.35">
      <c r="C77" s="60" t="s">
        <v>449</v>
      </c>
      <c r="D77" s="37"/>
      <c r="E77" s="37" t="s">
        <v>268</v>
      </c>
      <c r="F77" s="34" t="s">
        <v>445</v>
      </c>
      <c r="T77" s="126">
        <v>114059.38656413012</v>
      </c>
    </row>
    <row r="78" spans="1:22" x14ac:dyDescent="0.35">
      <c r="C78" s="60" t="s">
        <v>450</v>
      </c>
      <c r="D78" s="37"/>
      <c r="E78" s="37" t="s">
        <v>268</v>
      </c>
      <c r="F78" s="34" t="s">
        <v>448</v>
      </c>
      <c r="T78" s="129">
        <v>142804.04085339603</v>
      </c>
    </row>
    <row r="79" spans="1:22" x14ac:dyDescent="0.35">
      <c r="C79" s="60" t="s">
        <v>451</v>
      </c>
      <c r="D79" s="37"/>
      <c r="E79" s="37" t="s">
        <v>268</v>
      </c>
      <c r="F79" s="34" t="s">
        <v>448</v>
      </c>
      <c r="T79" s="129">
        <v>117476.71149571975</v>
      </c>
    </row>
    <row r="80" spans="1:22" x14ac:dyDescent="0.35">
      <c r="C80" s="60" t="s">
        <v>452</v>
      </c>
      <c r="D80" s="37"/>
      <c r="E80" s="37" t="s">
        <v>268</v>
      </c>
      <c r="F80" s="34" t="s">
        <v>448</v>
      </c>
      <c r="T80" s="129">
        <v>20868.434093644508</v>
      </c>
    </row>
    <row r="81" spans="3:20" x14ac:dyDescent="0.35">
      <c r="C81" s="60" t="s">
        <v>453</v>
      </c>
      <c r="D81" s="37"/>
      <c r="E81" s="37" t="s">
        <v>268</v>
      </c>
      <c r="F81" s="34" t="s">
        <v>445</v>
      </c>
      <c r="T81" s="126">
        <v>20868.434093644504</v>
      </c>
    </row>
    <row r="82" spans="3:20" x14ac:dyDescent="0.35">
      <c r="C82" s="60" t="s">
        <v>454</v>
      </c>
      <c r="D82" s="37"/>
      <c r="E82" s="37" t="s">
        <v>268</v>
      </c>
      <c r="F82" s="34" t="s">
        <v>448</v>
      </c>
      <c r="T82" s="129">
        <v>20868.434093644501</v>
      </c>
    </row>
    <row r="83" spans="3:20" x14ac:dyDescent="0.35">
      <c r="C83" s="60" t="s">
        <v>455</v>
      </c>
      <c r="D83" s="37"/>
      <c r="E83" s="37" t="s">
        <v>268</v>
      </c>
      <c r="F83" s="34" t="s">
        <v>448</v>
      </c>
      <c r="T83" s="129">
        <v>20868.434093644511</v>
      </c>
    </row>
    <row r="84" spans="3:20" x14ac:dyDescent="0.35">
      <c r="C84" s="60" t="s">
        <v>456</v>
      </c>
      <c r="D84" s="37"/>
      <c r="E84" s="37" t="s">
        <v>268</v>
      </c>
      <c r="F84" s="34" t="s">
        <v>445</v>
      </c>
      <c r="T84" s="126">
        <v>126987.71070513056</v>
      </c>
    </row>
    <row r="85" spans="3:20" x14ac:dyDescent="0.35">
      <c r="C85" s="60" t="s">
        <v>457</v>
      </c>
      <c r="D85" s="37"/>
      <c r="E85" s="37" t="s">
        <v>268</v>
      </c>
      <c r="F85" s="34" t="s">
        <v>445</v>
      </c>
      <c r="T85" s="126">
        <v>81872.214541847003</v>
      </c>
    </row>
    <row r="86" spans="3:20" x14ac:dyDescent="0.35">
      <c r="C86" s="122" t="s">
        <v>458</v>
      </c>
      <c r="D86" s="42"/>
      <c r="E86" s="42" t="s">
        <v>268</v>
      </c>
      <c r="F86" s="43" t="s">
        <v>445</v>
      </c>
      <c r="T86" s="127">
        <v>77011.584366162657</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4174-0279-4F85-85C7-21AEF59D8FCE}">
  <dimension ref="A1:W396"/>
  <sheetViews>
    <sheetView showGridLines="0" zoomScale="40" zoomScaleNormal="40" workbookViewId="0">
      <pane ySplit="1" topLeftCell="A2" activePane="bottomLeft" state="frozen"/>
      <selection pane="bottomLeft" activeCell="D406" sqref="D406"/>
    </sheetView>
  </sheetViews>
  <sheetFormatPr baseColWidth="10" defaultColWidth="11.453125" defaultRowHeight="14.5" x14ac:dyDescent="0.35"/>
  <cols>
    <col min="4" max="4" width="19.81640625" bestFit="1" customWidth="1"/>
    <col min="5" max="5" width="13.453125" bestFit="1" customWidth="1"/>
    <col min="6" max="6" width="11.81640625" bestFit="1" customWidth="1"/>
    <col min="8" max="8" width="13.81640625" customWidth="1"/>
    <col min="9" max="16" width="17" bestFit="1" customWidth="1"/>
    <col min="17" max="17" width="17.1796875" bestFit="1" customWidth="1"/>
    <col min="18" max="18" width="21.81640625" bestFit="1" customWidth="1"/>
    <col min="19" max="20" width="17.1796875" bestFit="1" customWidth="1"/>
    <col min="21" max="21" width="18.54296875" bestFit="1" customWidth="1"/>
    <col min="22" max="22" width="17" bestFit="1" customWidth="1"/>
  </cols>
  <sheetData>
    <row r="1" spans="1:22" ht="21" x14ac:dyDescent="0.35">
      <c r="A1" s="103" t="s">
        <v>413</v>
      </c>
      <c r="B1" s="103" t="s">
        <v>414</v>
      </c>
      <c r="C1" s="1" t="s">
        <v>470</v>
      </c>
      <c r="I1" s="175">
        <v>2011</v>
      </c>
      <c r="J1" s="176">
        <v>2012</v>
      </c>
      <c r="K1" s="176">
        <v>2013</v>
      </c>
      <c r="L1" s="176">
        <v>2014</v>
      </c>
      <c r="M1" s="176">
        <v>2015</v>
      </c>
      <c r="N1" s="176">
        <v>2016</v>
      </c>
      <c r="O1" s="176">
        <v>2017</v>
      </c>
      <c r="P1" s="176">
        <v>2018</v>
      </c>
      <c r="Q1" s="176">
        <v>2019</v>
      </c>
      <c r="R1" s="176">
        <v>2020</v>
      </c>
      <c r="S1" s="176">
        <v>2021</v>
      </c>
      <c r="T1" s="176">
        <v>2022</v>
      </c>
      <c r="U1" s="557">
        <v>2023</v>
      </c>
      <c r="V1" s="557">
        <v>2024</v>
      </c>
    </row>
    <row r="2" spans="1:22" x14ac:dyDescent="0.35">
      <c r="O2" s="6"/>
      <c r="P2" s="6"/>
      <c r="Q2" s="6"/>
      <c r="R2" s="6"/>
      <c r="S2" s="6"/>
      <c r="T2" s="6"/>
      <c r="U2" s="6"/>
      <c r="V2" s="6"/>
    </row>
    <row r="3" spans="1:22" x14ac:dyDescent="0.35">
      <c r="C3" s="7" t="s">
        <v>416</v>
      </c>
    </row>
    <row r="4" spans="1:22" x14ac:dyDescent="0.35">
      <c r="C4" t="s">
        <v>471</v>
      </c>
    </row>
    <row r="6" spans="1:22" x14ac:dyDescent="0.35">
      <c r="C6" s="7" t="s">
        <v>418</v>
      </c>
    </row>
    <row r="28" spans="3:16" x14ac:dyDescent="0.35">
      <c r="C28" t="s">
        <v>472</v>
      </c>
    </row>
    <row r="29" spans="3:16" x14ac:dyDescent="0.35">
      <c r="C29" t="s">
        <v>473</v>
      </c>
    </row>
    <row r="31" spans="3:16" s="8" customFormat="1" ht="21" x14ac:dyDescent="0.5">
      <c r="C31" s="9" t="s">
        <v>474</v>
      </c>
      <c r="P31" s="10"/>
    </row>
    <row r="33" spans="3:22" x14ac:dyDescent="0.35">
      <c r="C33" s="1132" t="s">
        <v>475</v>
      </c>
      <c r="D33" s="1133"/>
      <c r="E33" s="1134"/>
      <c r="F33" s="1135"/>
      <c r="G33" s="1135"/>
      <c r="H33" s="1135"/>
      <c r="I33" s="1136"/>
      <c r="J33" s="1137"/>
      <c r="K33" s="1137"/>
      <c r="L33" s="1137"/>
      <c r="M33" s="1137"/>
      <c r="N33" s="1137"/>
      <c r="O33" s="1137"/>
      <c r="P33" s="1137"/>
      <c r="Q33" s="1137"/>
      <c r="R33" s="1137"/>
      <c r="S33" s="1137"/>
      <c r="T33" s="1137"/>
      <c r="U33" s="1137"/>
      <c r="V33" s="1138"/>
    </row>
    <row r="34" spans="3:22" x14ac:dyDescent="0.35">
      <c r="C34" s="1139"/>
      <c r="D34" s="1140"/>
      <c r="E34" s="1141"/>
      <c r="F34" s="1142"/>
      <c r="G34" s="1142"/>
      <c r="H34" s="1142"/>
      <c r="I34" s="1143">
        <v>2011</v>
      </c>
      <c r="J34" s="1142">
        <v>2012</v>
      </c>
      <c r="K34" s="1142">
        <v>2013</v>
      </c>
      <c r="L34" s="1142">
        <v>2014</v>
      </c>
      <c r="M34" s="1142">
        <v>2015</v>
      </c>
      <c r="N34" s="1142">
        <v>2016</v>
      </c>
      <c r="O34" s="1142">
        <v>2017</v>
      </c>
      <c r="P34" s="1142">
        <v>2018</v>
      </c>
      <c r="Q34" s="1142">
        <v>2019</v>
      </c>
      <c r="R34" s="1142">
        <v>2020</v>
      </c>
      <c r="S34" s="1142">
        <v>2021</v>
      </c>
      <c r="T34" s="1142">
        <v>2022</v>
      </c>
      <c r="U34" s="1142">
        <v>2023</v>
      </c>
      <c r="V34" s="1144">
        <v>2024</v>
      </c>
    </row>
    <row r="35" spans="3:22" x14ac:dyDescent="0.35">
      <c r="C35" s="1145" t="s">
        <v>476</v>
      </c>
      <c r="D35" s="1146"/>
      <c r="E35" s="1147"/>
      <c r="F35" s="1135"/>
      <c r="G35" s="1135"/>
      <c r="H35" s="1135"/>
      <c r="I35" s="1174"/>
      <c r="J35" s="1175"/>
      <c r="K35" s="1175"/>
      <c r="L35" s="1175"/>
      <c r="M35" s="1175"/>
      <c r="N35" s="1175"/>
      <c r="O35" s="1175"/>
      <c r="P35" s="1175"/>
      <c r="Q35" s="1175"/>
      <c r="R35" s="1175"/>
      <c r="S35" s="1175"/>
      <c r="T35" s="1175"/>
      <c r="U35" s="1176"/>
      <c r="V35" s="1177"/>
    </row>
    <row r="36" spans="3:22" x14ac:dyDescent="0.35">
      <c r="C36" s="1148" t="s">
        <v>477</v>
      </c>
      <c r="D36" s="1149"/>
      <c r="E36" s="1150"/>
      <c r="F36" s="1151"/>
      <c r="G36" s="1151"/>
      <c r="H36" s="1152"/>
      <c r="I36" s="1178"/>
      <c r="J36" s="1179"/>
      <c r="K36" s="1179"/>
      <c r="L36" s="1179"/>
      <c r="M36" s="1179"/>
      <c r="N36" s="1179"/>
      <c r="O36" s="1179"/>
      <c r="P36" s="1179"/>
      <c r="Q36" s="1179"/>
      <c r="R36" s="1179"/>
      <c r="S36" s="1179"/>
      <c r="T36" s="1179"/>
      <c r="U36" s="1179"/>
      <c r="V36" s="1180"/>
    </row>
    <row r="37" spans="3:22" x14ac:dyDescent="0.35">
      <c r="C37" s="1153" t="s">
        <v>478</v>
      </c>
      <c r="D37" s="1154"/>
      <c r="E37" s="1150"/>
      <c r="F37" s="1151"/>
      <c r="G37" s="1151"/>
      <c r="H37" s="1155"/>
      <c r="I37" s="1178">
        <v>2728107976.5106969</v>
      </c>
      <c r="J37" s="1179">
        <v>2901452861.9411073</v>
      </c>
      <c r="K37" s="1179">
        <v>3169109878.8268809</v>
      </c>
      <c r="L37" s="1179">
        <v>2945292980.2143226</v>
      </c>
      <c r="M37" s="1179">
        <v>2959168289.2634335</v>
      </c>
      <c r="N37" s="1179">
        <v>2755967561.4839768</v>
      </c>
      <c r="O37" s="1179">
        <v>2799352456.4038191</v>
      </c>
      <c r="P37" s="1179">
        <v>2871801904.2337441</v>
      </c>
      <c r="Q37" s="1179">
        <v>2891989642.4070382</v>
      </c>
      <c r="R37" s="1179">
        <v>2735693045.596817</v>
      </c>
      <c r="S37" s="1179">
        <v>2856742547.6921878</v>
      </c>
      <c r="T37" s="1179">
        <v>3590972449.5255733</v>
      </c>
      <c r="U37" s="1179">
        <v>4422787603.138257</v>
      </c>
      <c r="V37" s="1180">
        <v>4190756739.6179595</v>
      </c>
    </row>
    <row r="38" spans="3:22" x14ac:dyDescent="0.35">
      <c r="C38" s="1156" t="s">
        <v>479</v>
      </c>
      <c r="D38" s="1157"/>
      <c r="E38" s="1150"/>
      <c r="F38" s="1151"/>
      <c r="G38" s="1151"/>
      <c r="H38" s="1158"/>
      <c r="I38" s="1196"/>
      <c r="J38" s="1197">
        <v>362157612.27888131</v>
      </c>
      <c r="K38" s="1197">
        <v>377799232.95823407</v>
      </c>
      <c r="L38" s="1197">
        <v>402311573.9359495</v>
      </c>
      <c r="M38" s="1198">
        <v>435529186.25542331</v>
      </c>
      <c r="N38" s="1198">
        <v>414217753.18389893</v>
      </c>
      <c r="O38" s="1198">
        <v>405015007.52810997</v>
      </c>
      <c r="P38" s="1198">
        <v>401366460.60793686</v>
      </c>
      <c r="Q38" s="1198">
        <v>378987035.61786133</v>
      </c>
      <c r="R38" s="1198">
        <v>389950766.00722522</v>
      </c>
      <c r="S38" s="1198">
        <v>381287341.78359973</v>
      </c>
      <c r="T38" s="1198">
        <v>413749851.23992187</v>
      </c>
      <c r="U38" s="1198">
        <v>438007432.63606697</v>
      </c>
      <c r="V38" s="1199"/>
    </row>
    <row r="39" spans="3:22" x14ac:dyDescent="0.35">
      <c r="C39" s="1156" t="s">
        <v>480</v>
      </c>
      <c r="D39" s="1157"/>
      <c r="E39" s="1150"/>
      <c r="F39" s="1151"/>
      <c r="G39" s="1151"/>
      <c r="H39" s="1158"/>
      <c r="I39" s="1196">
        <v>2018799902.6179156</v>
      </c>
      <c r="J39" s="1200">
        <v>2147075117.8364193</v>
      </c>
      <c r="K39" s="1200">
        <v>2345141310.331892</v>
      </c>
      <c r="L39" s="1200">
        <v>2179516805.3585987</v>
      </c>
      <c r="M39" s="1200">
        <v>2189784534.0549407</v>
      </c>
      <c r="N39" s="1200">
        <v>2039415995.4981427</v>
      </c>
      <c r="O39" s="1200">
        <v>2071520817.738826</v>
      </c>
      <c r="P39" s="1172">
        <v>2125133409.1329706</v>
      </c>
      <c r="Q39" s="1173">
        <v>2140072335.3812082</v>
      </c>
      <c r="R39" s="1173">
        <v>2024412853.7416446</v>
      </c>
      <c r="S39" s="1173">
        <v>2113989485.2922189</v>
      </c>
      <c r="T39" s="1173">
        <v>2657319612.6489244</v>
      </c>
      <c r="U39" s="1173">
        <v>3272862826.32231</v>
      </c>
      <c r="V39" s="1199">
        <v>3101159987.3172898</v>
      </c>
    </row>
    <row r="40" spans="3:22" x14ac:dyDescent="0.35">
      <c r="C40" s="1156" t="s">
        <v>481</v>
      </c>
      <c r="D40" s="1157"/>
      <c r="E40" s="1150"/>
      <c r="F40" s="1151"/>
      <c r="G40" s="1151"/>
      <c r="H40" s="1158"/>
      <c r="I40" s="1181"/>
      <c r="J40" s="1182"/>
      <c r="K40" s="1182"/>
      <c r="L40" s="1182"/>
      <c r="M40" s="1182"/>
      <c r="N40" s="1182"/>
      <c r="O40" s="1182"/>
      <c r="P40" s="1183"/>
      <c r="Q40" s="1184"/>
      <c r="R40" s="1184"/>
      <c r="S40" s="1184"/>
      <c r="T40" s="1184"/>
      <c r="U40" s="1184"/>
      <c r="V40" s="1185"/>
    </row>
    <row r="41" spans="3:22" x14ac:dyDescent="0.35">
      <c r="C41" s="1153" t="s">
        <v>482</v>
      </c>
      <c r="D41" s="1160"/>
      <c r="E41" s="1150"/>
      <c r="F41" s="1151"/>
      <c r="G41" s="1151"/>
      <c r="H41" s="1155"/>
      <c r="I41" s="1201">
        <v>324628406.63393021</v>
      </c>
      <c r="J41" s="1171">
        <v>350001294.7467643</v>
      </c>
      <c r="K41" s="1171">
        <v>342213589.70560068</v>
      </c>
      <c r="L41" s="1171">
        <v>326542625.8800168</v>
      </c>
      <c r="M41" s="1171">
        <v>282523429.31331772</v>
      </c>
      <c r="N41" s="1171">
        <v>258236929.42122</v>
      </c>
      <c r="O41" s="1171">
        <v>273232794.45404583</v>
      </c>
      <c r="P41" s="1171">
        <v>305520248.28381133</v>
      </c>
      <c r="Q41" s="1171">
        <v>300765819.21442115</v>
      </c>
      <c r="R41" s="1171">
        <v>238270474.49147913</v>
      </c>
      <c r="S41" s="1171">
        <v>287668041.10566258</v>
      </c>
      <c r="T41" s="1171">
        <v>358434438.11323756</v>
      </c>
      <c r="U41" s="1171">
        <v>357751837.35177112</v>
      </c>
      <c r="V41" s="1202">
        <v>346406836.9825781</v>
      </c>
    </row>
    <row r="42" spans="3:22" x14ac:dyDescent="0.35">
      <c r="C42" s="1153" t="s">
        <v>483</v>
      </c>
      <c r="D42" s="1160"/>
      <c r="E42" s="1150"/>
      <c r="F42" s="1151"/>
      <c r="G42" s="1151"/>
      <c r="H42" s="1155"/>
      <c r="I42" s="1181"/>
      <c r="J42" s="1182"/>
      <c r="K42" s="1182"/>
      <c r="L42" s="1182"/>
      <c r="M42" s="1182"/>
      <c r="N42" s="1182"/>
      <c r="O42" s="1182"/>
      <c r="P42" s="1186"/>
      <c r="Q42" s="1186"/>
      <c r="R42" s="1186"/>
      <c r="S42" s="1186"/>
      <c r="T42" s="1186"/>
      <c r="U42" s="1186"/>
      <c r="V42" s="1185"/>
    </row>
    <row r="43" spans="3:22" x14ac:dyDescent="0.35">
      <c r="C43" s="1161"/>
      <c r="D43" s="1162"/>
      <c r="E43" s="1150"/>
      <c r="F43" s="1151"/>
      <c r="G43" s="1151"/>
      <c r="H43" s="1163"/>
      <c r="I43" s="1181"/>
      <c r="J43" s="1182"/>
      <c r="K43" s="1182"/>
      <c r="L43" s="1182"/>
      <c r="M43" s="1182"/>
      <c r="N43" s="1182"/>
      <c r="O43" s="1182"/>
      <c r="P43" s="1186"/>
      <c r="Q43" s="1186"/>
      <c r="R43" s="1186"/>
      <c r="S43" s="1186"/>
      <c r="T43" s="1186"/>
      <c r="U43" s="1187"/>
      <c r="V43" s="1185"/>
    </row>
    <row r="44" spans="3:22" x14ac:dyDescent="0.35">
      <c r="C44" s="1145" t="s">
        <v>484</v>
      </c>
      <c r="D44" s="1146"/>
      <c r="E44" s="1164"/>
      <c r="F44" s="1165"/>
      <c r="G44" s="1165"/>
      <c r="H44" s="1135"/>
      <c r="I44" s="1188"/>
      <c r="J44" s="1189"/>
      <c r="K44" s="1189"/>
      <c r="L44" s="1189"/>
      <c r="M44" s="1189"/>
      <c r="N44" s="1189"/>
      <c r="O44" s="1189"/>
      <c r="P44" s="1189"/>
      <c r="Q44" s="1189"/>
      <c r="R44" s="1189"/>
      <c r="S44" s="1189"/>
      <c r="T44" s="1189"/>
      <c r="U44" s="1190"/>
      <c r="V44" s="1191"/>
    </row>
    <row r="45" spans="3:22" x14ac:dyDescent="0.35">
      <c r="C45" s="1148" t="s">
        <v>477</v>
      </c>
      <c r="D45" s="1149"/>
      <c r="E45" s="1150"/>
      <c r="F45" s="1151"/>
      <c r="G45" s="1151"/>
      <c r="H45" s="1152"/>
      <c r="I45" s="1181"/>
      <c r="J45" s="1182"/>
      <c r="K45" s="1182"/>
      <c r="L45" s="1182"/>
      <c r="M45" s="1182"/>
      <c r="N45" s="1182"/>
      <c r="O45" s="1182"/>
      <c r="P45" s="1186"/>
      <c r="Q45" s="1179"/>
      <c r="R45" s="1179"/>
      <c r="S45" s="1179"/>
      <c r="T45" s="1179"/>
      <c r="U45" s="1179"/>
      <c r="V45" s="1185"/>
    </row>
    <row r="46" spans="3:22" ht="41.5" x14ac:dyDescent="0.35">
      <c r="C46" s="1166" t="s">
        <v>478</v>
      </c>
      <c r="D46" s="1154"/>
      <c r="E46" s="1150"/>
      <c r="F46" s="1151"/>
      <c r="G46" s="1151"/>
      <c r="H46" s="1167"/>
      <c r="I46" s="1178">
        <v>352999943.41670692</v>
      </c>
      <c r="J46" s="1179">
        <v>393052197.43657899</v>
      </c>
      <c r="K46" s="1179">
        <v>443876978.6400001</v>
      </c>
      <c r="L46" s="1179">
        <v>456946137.9270246</v>
      </c>
      <c r="M46" s="1179">
        <v>491509358.06382602</v>
      </c>
      <c r="N46" s="1179">
        <v>491832790.50991285</v>
      </c>
      <c r="O46" s="1179">
        <v>532838590.15160626</v>
      </c>
      <c r="P46" s="1179">
        <v>578073224.54873645</v>
      </c>
      <c r="Q46" s="1179">
        <v>614406183.9972111</v>
      </c>
      <c r="R46" s="1179">
        <v>619040068.5617671</v>
      </c>
      <c r="S46" s="1179">
        <v>652272435.18294072</v>
      </c>
      <c r="T46" s="1179">
        <v>829941887.73150456</v>
      </c>
      <c r="U46" s="1179">
        <v>1125464202.9853396</v>
      </c>
      <c r="V46" s="1180">
        <v>1074062481.2555959</v>
      </c>
    </row>
    <row r="47" spans="3:22" x14ac:dyDescent="0.35">
      <c r="C47" s="1156" t="s">
        <v>479</v>
      </c>
      <c r="D47" s="1157"/>
      <c r="E47" s="1150"/>
      <c r="F47" s="1151"/>
      <c r="G47" s="1151"/>
      <c r="H47" s="1158"/>
      <c r="I47" s="1203"/>
      <c r="J47" s="1204">
        <v>48423335.210000001</v>
      </c>
      <c r="K47" s="1204">
        <v>52643210.720000006</v>
      </c>
      <c r="L47" s="1204">
        <v>63819412.750000022</v>
      </c>
      <c r="M47" s="1205">
        <v>73741500.519999996</v>
      </c>
      <c r="N47" s="1205">
        <v>82948193.309999987</v>
      </c>
      <c r="O47" s="1205">
        <v>97316885.079999968</v>
      </c>
      <c r="P47" s="1205">
        <v>98971743.539999977</v>
      </c>
      <c r="Q47" s="1205">
        <v>106112430.44000004</v>
      </c>
      <c r="R47" s="1205">
        <v>106818871.34999999</v>
      </c>
      <c r="S47" s="1205">
        <v>104166672.09</v>
      </c>
      <c r="T47" s="1205">
        <v>127269163.08000001</v>
      </c>
      <c r="U47" s="1205">
        <v>130810741.59999999</v>
      </c>
      <c r="V47" s="1206"/>
    </row>
    <row r="48" spans="3:22" x14ac:dyDescent="0.35">
      <c r="C48" s="1156" t="s">
        <v>480</v>
      </c>
      <c r="D48" s="1157"/>
      <c r="E48" s="1150"/>
      <c r="F48" s="1151"/>
      <c r="G48" s="1151"/>
      <c r="H48" s="1158"/>
      <c r="I48" s="1203">
        <v>261219958.1283631</v>
      </c>
      <c r="J48" s="1207">
        <v>290858626.10306847</v>
      </c>
      <c r="K48" s="1207">
        <v>328468964.19360006</v>
      </c>
      <c r="L48" s="1207">
        <v>338140142.0659982</v>
      </c>
      <c r="M48" s="1207">
        <v>363716924.96723127</v>
      </c>
      <c r="N48" s="1207">
        <v>363956264.97733551</v>
      </c>
      <c r="O48" s="1207">
        <v>394300556.7121886</v>
      </c>
      <c r="P48" s="1159">
        <v>427774186.16606498</v>
      </c>
      <c r="Q48" s="1171">
        <v>454660576.15793622</v>
      </c>
      <c r="R48" s="1171">
        <v>458089650.73570764</v>
      </c>
      <c r="S48" s="1171">
        <v>482681602.03537613</v>
      </c>
      <c r="T48" s="1171">
        <v>614156996.92131341</v>
      </c>
      <c r="U48" s="1171">
        <v>832843510.20915127</v>
      </c>
      <c r="V48" s="1206">
        <v>794806236.12914097</v>
      </c>
    </row>
    <row r="49" spans="3:22" x14ac:dyDescent="0.35">
      <c r="C49" s="1156" t="s">
        <v>481</v>
      </c>
      <c r="D49" s="1157"/>
      <c r="E49" s="1150"/>
      <c r="F49" s="1151"/>
      <c r="G49" s="1151"/>
      <c r="H49" s="1158"/>
      <c r="I49" s="1203"/>
      <c r="J49" s="1207"/>
      <c r="K49" s="1207"/>
      <c r="L49" s="1207"/>
      <c r="M49" s="1207"/>
      <c r="N49" s="1207"/>
      <c r="O49" s="1207"/>
      <c r="P49" s="1159"/>
      <c r="Q49" s="1171"/>
      <c r="R49" s="1171"/>
      <c r="S49" s="1171"/>
      <c r="T49" s="1171"/>
      <c r="U49" s="1171"/>
      <c r="V49" s="1206"/>
    </row>
    <row r="50" spans="3:22" ht="28" x14ac:dyDescent="0.35">
      <c r="C50" s="1166" t="s">
        <v>482</v>
      </c>
      <c r="D50" s="1154"/>
      <c r="E50" s="1150"/>
      <c r="F50" s="1151"/>
      <c r="G50" s="1151"/>
      <c r="H50" s="1167"/>
      <c r="I50" s="1203">
        <v>150759988.55117926</v>
      </c>
      <c r="J50" s="1207">
        <v>167671181.45233333</v>
      </c>
      <c r="K50" s="1207">
        <v>165942327.97413757</v>
      </c>
      <c r="L50" s="1207">
        <v>165593100.64243725</v>
      </c>
      <c r="M50" s="1207">
        <v>148319318.9121609</v>
      </c>
      <c r="N50" s="1207">
        <v>142733521.38217974</v>
      </c>
      <c r="O50" s="1207">
        <v>170866821.22028431</v>
      </c>
      <c r="P50" s="1208">
        <v>198667360.99765268</v>
      </c>
      <c r="Q50" s="1171">
        <v>202644797.54296622</v>
      </c>
      <c r="R50" s="1171">
        <v>166468591.35010388</v>
      </c>
      <c r="S50" s="1171">
        <v>197108307.61011773</v>
      </c>
      <c r="T50" s="1171">
        <v>263111081.21258521</v>
      </c>
      <c r="U50" s="1171">
        <v>251593532.58300263</v>
      </c>
      <c r="V50" s="1206">
        <v>242349786.92851707</v>
      </c>
    </row>
    <row r="51" spans="3:22" x14ac:dyDescent="0.35">
      <c r="C51" s="1161" t="s">
        <v>483</v>
      </c>
      <c r="D51" s="1162"/>
      <c r="E51" s="1150"/>
      <c r="F51" s="1151"/>
      <c r="G51" s="1151"/>
      <c r="H51" s="1163"/>
      <c r="I51" s="1181"/>
      <c r="J51" s="1182"/>
      <c r="K51" s="1182"/>
      <c r="L51" s="1182"/>
      <c r="M51" s="1182"/>
      <c r="N51" s="1182"/>
      <c r="O51" s="1182"/>
      <c r="P51" s="1186"/>
      <c r="Q51" s="1186"/>
      <c r="R51" s="1186"/>
      <c r="S51" s="1186"/>
      <c r="T51" s="1186"/>
      <c r="U51" s="1186"/>
      <c r="V51" s="1185"/>
    </row>
    <row r="52" spans="3:22" x14ac:dyDescent="0.35">
      <c r="C52" s="1148"/>
      <c r="D52" s="1149"/>
      <c r="E52" s="1150"/>
      <c r="F52" s="1151"/>
      <c r="G52" s="1151"/>
      <c r="H52" s="1152"/>
      <c r="I52" s="1181"/>
      <c r="J52" s="1182"/>
      <c r="K52" s="1182"/>
      <c r="L52" s="1182"/>
      <c r="M52" s="1182"/>
      <c r="N52" s="1182"/>
      <c r="O52" s="1182"/>
      <c r="P52" s="1186"/>
      <c r="Q52" s="1186"/>
      <c r="R52" s="1186"/>
      <c r="S52" s="1186"/>
      <c r="T52" s="1186"/>
      <c r="U52" s="1186"/>
      <c r="V52" s="1185"/>
    </row>
    <row r="53" spans="3:22" x14ac:dyDescent="0.35">
      <c r="C53" s="1145" t="s">
        <v>485</v>
      </c>
      <c r="D53" s="1146"/>
      <c r="E53" s="1164"/>
      <c r="F53" s="1165"/>
      <c r="G53" s="1165"/>
      <c r="H53" s="1135"/>
      <c r="I53" s="1188"/>
      <c r="J53" s="1189"/>
      <c r="K53" s="1189"/>
      <c r="L53" s="1189"/>
      <c r="M53" s="1189"/>
      <c r="N53" s="1189"/>
      <c r="O53" s="1189"/>
      <c r="P53" s="1189"/>
      <c r="Q53" s="1189"/>
      <c r="R53" s="1189"/>
      <c r="S53" s="1189"/>
      <c r="T53" s="1189"/>
      <c r="U53" s="1190"/>
      <c r="V53" s="1191"/>
    </row>
    <row r="54" spans="3:22" x14ac:dyDescent="0.35">
      <c r="C54" s="1148" t="s">
        <v>477</v>
      </c>
      <c r="D54" s="1149"/>
      <c r="E54" s="1150"/>
      <c r="F54" s="1151"/>
      <c r="G54" s="1151"/>
      <c r="H54" s="1152"/>
      <c r="I54" s="1181"/>
      <c r="J54" s="1182"/>
      <c r="K54" s="1182"/>
      <c r="L54" s="1182"/>
      <c r="M54" s="1182"/>
      <c r="N54" s="1182"/>
      <c r="O54" s="1182"/>
      <c r="P54" s="1186"/>
      <c r="Q54" s="1179"/>
      <c r="R54" s="1179"/>
      <c r="S54" s="1179"/>
      <c r="T54" s="1179"/>
      <c r="U54" s="1179"/>
      <c r="V54" s="1185"/>
    </row>
    <row r="55" spans="3:22" ht="41.5" x14ac:dyDescent="0.35">
      <c r="C55" s="1166" t="s">
        <v>478</v>
      </c>
      <c r="D55" s="1154"/>
      <c r="E55" s="1150"/>
      <c r="F55" s="1151"/>
      <c r="G55" s="1151"/>
      <c r="H55" s="1167"/>
      <c r="I55" s="1181">
        <v>172386371.04363704</v>
      </c>
      <c r="J55" s="1182">
        <v>193356812.52399158</v>
      </c>
      <c r="K55" s="1182">
        <v>209059158.92738843</v>
      </c>
      <c r="L55" s="1182">
        <v>201778783.69967133</v>
      </c>
      <c r="M55" s="1182">
        <v>216945503.78212661</v>
      </c>
      <c r="N55" s="1182">
        <v>218133466.56934345</v>
      </c>
      <c r="O55" s="1182">
        <v>215476656.07933685</v>
      </c>
      <c r="P55" s="1192">
        <v>221408828.59040582</v>
      </c>
      <c r="Q55" s="1179">
        <v>226868307.85800546</v>
      </c>
      <c r="R55" s="1179">
        <v>229330658.2579304</v>
      </c>
      <c r="S55" s="1179">
        <v>251222639.51588866</v>
      </c>
      <c r="T55" s="1179">
        <v>314927701.07562232</v>
      </c>
      <c r="U55" s="1179">
        <v>420251140.54393315</v>
      </c>
      <c r="V55" s="1185">
        <v>380868797.29013932</v>
      </c>
    </row>
    <row r="56" spans="3:22" x14ac:dyDescent="0.35">
      <c r="C56" s="1156" t="s">
        <v>479</v>
      </c>
      <c r="D56" s="1157"/>
      <c r="E56" s="1150"/>
      <c r="F56" s="1151"/>
      <c r="G56" s="1151"/>
      <c r="H56" s="1158"/>
      <c r="I56" s="1203"/>
      <c r="J56" s="1207">
        <v>11275209.83</v>
      </c>
      <c r="K56" s="1207">
        <v>13540123.929999998</v>
      </c>
      <c r="L56" s="1207">
        <v>17792304.59</v>
      </c>
      <c r="M56" s="1207">
        <v>19380099.349999998</v>
      </c>
      <c r="N56" s="1207">
        <v>22058054.73</v>
      </c>
      <c r="O56" s="1207">
        <v>21406548.91</v>
      </c>
      <c r="P56" s="1159">
        <v>23467720.690000001</v>
      </c>
      <c r="Q56" s="1171">
        <v>22784707.850000001</v>
      </c>
      <c r="R56" s="1171">
        <v>20251375.41</v>
      </c>
      <c r="S56" s="1171">
        <v>20346587.300000001</v>
      </c>
      <c r="T56" s="1171">
        <v>22693889.170000002</v>
      </c>
      <c r="U56" s="1171">
        <v>21767432.010000002</v>
      </c>
      <c r="V56" s="1206"/>
    </row>
    <row r="57" spans="3:22" x14ac:dyDescent="0.35">
      <c r="C57" s="1156" t="s">
        <v>480</v>
      </c>
      <c r="D57" s="1157"/>
      <c r="E57" s="1150"/>
      <c r="F57" s="1151"/>
      <c r="G57" s="1151"/>
      <c r="H57" s="1158"/>
      <c r="I57" s="1203">
        <v>127986853.46046773</v>
      </c>
      <c r="J57" s="1207">
        <v>143883569.3788318</v>
      </c>
      <c r="K57" s="1207">
        <v>155165500.40530813</v>
      </c>
      <c r="L57" s="1207">
        <v>149906549.3517552</v>
      </c>
      <c r="M57" s="1207">
        <v>161853777.20609498</v>
      </c>
      <c r="N57" s="1207">
        <v>162963574.65637916</v>
      </c>
      <c r="O57" s="1207">
        <v>161013826.64445829</v>
      </c>
      <c r="P57" s="1159">
        <v>165581252.6203635</v>
      </c>
      <c r="Q57" s="1171">
        <v>169789339.33471143</v>
      </c>
      <c r="R57" s="1171">
        <v>171395605.92335209</v>
      </c>
      <c r="S57" s="1171">
        <v>187417985.11477318</v>
      </c>
      <c r="T57" s="1171">
        <v>234219524.58881238</v>
      </c>
      <c r="U57" s="1171">
        <v>312195945.57572645</v>
      </c>
      <c r="V57" s="1206">
        <v>283606938.29428661</v>
      </c>
    </row>
    <row r="58" spans="3:22" x14ac:dyDescent="0.35">
      <c r="C58" s="1156" t="s">
        <v>481</v>
      </c>
      <c r="D58" s="1157"/>
      <c r="E58" s="1150"/>
      <c r="F58" s="1151"/>
      <c r="G58" s="1151"/>
      <c r="H58" s="1158"/>
      <c r="I58" s="1203"/>
      <c r="J58" s="1207"/>
      <c r="K58" s="1207"/>
      <c r="L58" s="1207"/>
      <c r="M58" s="1207"/>
      <c r="N58" s="1207"/>
      <c r="O58" s="1207"/>
      <c r="P58" s="1159"/>
      <c r="Q58" s="1171"/>
      <c r="R58" s="1171"/>
      <c r="S58" s="1171"/>
      <c r="T58" s="1171"/>
      <c r="U58" s="1171"/>
      <c r="V58" s="1206"/>
    </row>
    <row r="59" spans="3:22" ht="28" x14ac:dyDescent="0.35">
      <c r="C59" s="1166" t="s">
        <v>482</v>
      </c>
      <c r="D59" s="1154"/>
      <c r="E59" s="1150"/>
      <c r="F59" s="1151"/>
      <c r="G59" s="1151"/>
      <c r="H59" s="1167"/>
      <c r="I59" s="1203">
        <v>80604103.896556765</v>
      </c>
      <c r="J59" s="1207">
        <v>87406364.906085491</v>
      </c>
      <c r="K59" s="1207">
        <v>85697078.523032755</v>
      </c>
      <c r="L59" s="1207">
        <v>81852825.473536476</v>
      </c>
      <c r="M59" s="1207">
        <v>73752997.631663412</v>
      </c>
      <c r="N59" s="1207">
        <v>68846630.996527508</v>
      </c>
      <c r="O59" s="1207">
        <v>69792531.486041397</v>
      </c>
      <c r="P59" s="1208">
        <v>84644517.039625049</v>
      </c>
      <c r="Q59" s="1171">
        <v>85207450.767578378</v>
      </c>
      <c r="R59" s="1171">
        <v>70232068.24718146</v>
      </c>
      <c r="S59" s="1171">
        <v>85056021.043333322</v>
      </c>
      <c r="T59" s="1171">
        <v>112484599.37867735</v>
      </c>
      <c r="U59" s="1171">
        <v>107917933.21416271</v>
      </c>
      <c r="V59" s="1206">
        <v>100244961.271529</v>
      </c>
    </row>
    <row r="60" spans="3:22" x14ac:dyDescent="0.35">
      <c r="C60" s="1161" t="s">
        <v>483</v>
      </c>
      <c r="D60" s="1162"/>
      <c r="E60" s="1150"/>
      <c r="F60" s="1151"/>
      <c r="G60" s="1151"/>
      <c r="H60" s="1163"/>
      <c r="I60" s="1181"/>
      <c r="J60" s="1182"/>
      <c r="K60" s="1182"/>
      <c r="L60" s="1182"/>
      <c r="M60" s="1182"/>
      <c r="N60" s="1182"/>
      <c r="O60" s="1182"/>
      <c r="P60" s="1186"/>
      <c r="Q60" s="1186"/>
      <c r="R60" s="1186"/>
      <c r="S60" s="1186"/>
      <c r="T60" s="1186"/>
      <c r="U60" s="1186"/>
      <c r="V60" s="1185"/>
    </row>
    <row r="61" spans="3:22" x14ac:dyDescent="0.35">
      <c r="C61" s="1148"/>
      <c r="D61" s="1149"/>
      <c r="E61" s="1150"/>
      <c r="F61" s="1151"/>
      <c r="G61" s="1151"/>
      <c r="H61" s="1152"/>
      <c r="I61" s="1181"/>
      <c r="J61" s="1182"/>
      <c r="K61" s="1182"/>
      <c r="L61" s="1182"/>
      <c r="M61" s="1182"/>
      <c r="N61" s="1182"/>
      <c r="O61" s="1182"/>
      <c r="P61" s="1186"/>
      <c r="Q61" s="1186"/>
      <c r="R61" s="1186"/>
      <c r="S61" s="1186"/>
      <c r="T61" s="1186"/>
      <c r="U61" s="1186"/>
      <c r="V61" s="1185"/>
    </row>
    <row r="62" spans="3:22" x14ac:dyDescent="0.35">
      <c r="C62" s="1145" t="s">
        <v>486</v>
      </c>
      <c r="D62" s="1146"/>
      <c r="E62" s="1164"/>
      <c r="F62" s="1165"/>
      <c r="G62" s="1165"/>
      <c r="H62" s="1135"/>
      <c r="I62" s="1188"/>
      <c r="J62" s="1189"/>
      <c r="K62" s="1189"/>
      <c r="L62" s="1189"/>
      <c r="M62" s="1189"/>
      <c r="N62" s="1189"/>
      <c r="O62" s="1189"/>
      <c r="P62" s="1189"/>
      <c r="Q62" s="1189"/>
      <c r="R62" s="1189"/>
      <c r="S62" s="1189"/>
      <c r="T62" s="1189"/>
      <c r="U62" s="1190"/>
      <c r="V62" s="1191"/>
    </row>
    <row r="63" spans="3:22" x14ac:dyDescent="0.35">
      <c r="C63" s="1148" t="s">
        <v>477</v>
      </c>
      <c r="D63" s="1149"/>
      <c r="E63" s="1150"/>
      <c r="F63" s="1151"/>
      <c r="G63" s="1151"/>
      <c r="H63" s="1152"/>
      <c r="I63" s="1181"/>
      <c r="J63" s="1182"/>
      <c r="K63" s="1182"/>
      <c r="L63" s="1182"/>
      <c r="M63" s="1182"/>
      <c r="N63" s="1182"/>
      <c r="O63" s="1182"/>
      <c r="P63" s="1186"/>
      <c r="Q63" s="1179"/>
      <c r="R63" s="1179"/>
      <c r="S63" s="1179"/>
      <c r="T63" s="1179"/>
      <c r="U63" s="1179"/>
      <c r="V63" s="1185"/>
    </row>
    <row r="64" spans="3:22" ht="41.5" x14ac:dyDescent="0.35">
      <c r="C64" s="1166" t="s">
        <v>478</v>
      </c>
      <c r="D64" s="1154"/>
      <c r="E64" s="1150"/>
      <c r="F64" s="1151"/>
      <c r="G64" s="1151"/>
      <c r="H64" s="1167"/>
      <c r="I64" s="1181">
        <v>150470481.2479316</v>
      </c>
      <c r="J64" s="1182">
        <v>163714636.29051384</v>
      </c>
      <c r="K64" s="1182">
        <v>183633889.71399498</v>
      </c>
      <c r="L64" s="1182">
        <v>167587748.73224145</v>
      </c>
      <c r="M64" s="1182">
        <v>174630830.61468044</v>
      </c>
      <c r="N64" s="1182">
        <v>183545698.19070098</v>
      </c>
      <c r="O64" s="1182">
        <v>205991612.1728794</v>
      </c>
      <c r="P64" s="1192">
        <v>215314061.85646412</v>
      </c>
      <c r="Q64" s="1179">
        <v>223278038.92747295</v>
      </c>
      <c r="R64" s="1179">
        <v>211359668.31267425</v>
      </c>
      <c r="S64" s="1179">
        <v>225196341.83859244</v>
      </c>
      <c r="T64" s="1179">
        <v>305190168.72476</v>
      </c>
      <c r="U64" s="1179">
        <v>468979666.01117766</v>
      </c>
      <c r="V64" s="1185">
        <v>439295875.93622774</v>
      </c>
    </row>
    <row r="65" spans="3:23" x14ac:dyDescent="0.35">
      <c r="C65" s="1156" t="s">
        <v>479</v>
      </c>
      <c r="D65" s="1157"/>
      <c r="E65" s="1150"/>
      <c r="F65" s="1151"/>
      <c r="G65" s="1151"/>
      <c r="H65" s="1158"/>
      <c r="I65" s="1203"/>
      <c r="J65" s="1207"/>
      <c r="K65" s="1207"/>
      <c r="L65" s="1207"/>
      <c r="M65" s="1207"/>
      <c r="N65" s="1207"/>
      <c r="O65" s="1207"/>
      <c r="P65" s="1159"/>
      <c r="Q65" s="1171"/>
      <c r="R65" s="1171"/>
      <c r="S65" s="1171"/>
      <c r="T65" s="1171"/>
      <c r="U65" s="1171"/>
      <c r="V65" s="1206"/>
    </row>
    <row r="66" spans="3:23" x14ac:dyDescent="0.35">
      <c r="C66" s="1156" t="s">
        <v>480</v>
      </c>
      <c r="D66" s="1157"/>
      <c r="E66" s="1150"/>
      <c r="F66" s="1151"/>
      <c r="G66" s="1151"/>
      <c r="H66" s="1158"/>
      <c r="I66" s="1203">
        <v>111348156.12346938</v>
      </c>
      <c r="J66" s="1207">
        <v>121148830.85498025</v>
      </c>
      <c r="K66" s="1207">
        <v>135889078.3883563</v>
      </c>
      <c r="L66" s="1207">
        <v>124014934.06185867</v>
      </c>
      <c r="M66" s="1207">
        <v>129226814.65486352</v>
      </c>
      <c r="N66" s="1207">
        <v>135823816.66111872</v>
      </c>
      <c r="O66" s="1207">
        <v>152433793.00793076</v>
      </c>
      <c r="P66" s="1159">
        <v>159332405.77378345</v>
      </c>
      <c r="Q66" s="1171">
        <v>165225748.80632997</v>
      </c>
      <c r="R66" s="1171">
        <v>156406154.55137894</v>
      </c>
      <c r="S66" s="1171">
        <v>166645292.96055841</v>
      </c>
      <c r="T66" s="1171">
        <v>225840724.85632241</v>
      </c>
      <c r="U66" s="1171">
        <v>347044952.84827149</v>
      </c>
      <c r="V66" s="1206">
        <v>325078948.19280851</v>
      </c>
    </row>
    <row r="67" spans="3:23" x14ac:dyDescent="0.35">
      <c r="C67" s="1156" t="s">
        <v>481</v>
      </c>
      <c r="D67" s="1157"/>
      <c r="E67" s="1150"/>
      <c r="F67" s="1151"/>
      <c r="G67" s="1151"/>
      <c r="H67" s="1158"/>
      <c r="I67" s="1203"/>
      <c r="J67" s="1207"/>
      <c r="K67" s="1207"/>
      <c r="L67" s="1207"/>
      <c r="M67" s="1207"/>
      <c r="N67" s="1207"/>
      <c r="O67" s="1207"/>
      <c r="P67" s="1159"/>
      <c r="Q67" s="1171"/>
      <c r="R67" s="1171"/>
      <c r="S67" s="1171"/>
      <c r="T67" s="1171"/>
      <c r="U67" s="1171"/>
      <c r="V67" s="1206"/>
    </row>
    <row r="68" spans="3:23" ht="28" x14ac:dyDescent="0.35">
      <c r="C68" s="1166" t="s">
        <v>482</v>
      </c>
      <c r="D68" s="1154"/>
      <c r="E68" s="1150"/>
      <c r="F68" s="1151"/>
      <c r="G68" s="1151"/>
      <c r="H68" s="1167"/>
      <c r="I68" s="1203">
        <v>120562668.38846363</v>
      </c>
      <c r="J68" s="1207">
        <v>135673682.09690931</v>
      </c>
      <c r="K68" s="1207">
        <v>136694283.6278387</v>
      </c>
      <c r="L68" s="1207">
        <v>122291471.80973436</v>
      </c>
      <c r="M68" s="1207">
        <v>106715017.52753429</v>
      </c>
      <c r="N68" s="1207">
        <v>96817421.409659445</v>
      </c>
      <c r="O68" s="1207">
        <v>106208133.1047865</v>
      </c>
      <c r="P68" s="1208">
        <v>118612766.75267123</v>
      </c>
      <c r="Q68" s="1171">
        <v>115949877.90776323</v>
      </c>
      <c r="R68" s="1171">
        <v>87209440.873825863</v>
      </c>
      <c r="S68" s="1171">
        <v>114274713.98102029</v>
      </c>
      <c r="T68" s="1171">
        <v>147695940.25374511</v>
      </c>
      <c r="U68" s="1171">
        <v>142790267.77348921</v>
      </c>
      <c r="V68" s="1206">
        <v>140701469.22059017</v>
      </c>
    </row>
    <row r="69" spans="3:23" x14ac:dyDescent="0.35">
      <c r="C69" s="1161" t="s">
        <v>483</v>
      </c>
      <c r="D69" s="1162"/>
      <c r="E69" s="1150"/>
      <c r="F69" s="1151"/>
      <c r="G69" s="1151"/>
      <c r="H69" s="1163"/>
      <c r="I69" s="1181"/>
      <c r="J69" s="1182"/>
      <c r="K69" s="1182"/>
      <c r="L69" s="1182"/>
      <c r="M69" s="1182"/>
      <c r="N69" s="1182"/>
      <c r="O69" s="1182"/>
      <c r="P69" s="1186"/>
      <c r="Q69" s="1186"/>
      <c r="R69" s="1186"/>
      <c r="S69" s="1186"/>
      <c r="T69" s="1186"/>
      <c r="U69" s="1186"/>
      <c r="V69" s="1185"/>
    </row>
    <row r="70" spans="3:23" x14ac:dyDescent="0.35">
      <c r="C70" s="1148"/>
      <c r="D70" s="1149"/>
      <c r="E70" s="1150"/>
      <c r="F70" s="1151"/>
      <c r="G70" s="1151"/>
      <c r="H70" s="1152"/>
      <c r="I70" s="1181"/>
      <c r="J70" s="1182"/>
      <c r="K70" s="1182"/>
      <c r="L70" s="1182"/>
      <c r="M70" s="1182"/>
      <c r="N70" s="1182"/>
      <c r="O70" s="1182"/>
      <c r="P70" s="1186"/>
      <c r="Q70" s="1186"/>
      <c r="R70" s="1186"/>
      <c r="S70" s="1186"/>
      <c r="T70" s="1186"/>
      <c r="U70" s="1186"/>
      <c r="V70" s="1185"/>
    </row>
    <row r="71" spans="3:23" x14ac:dyDescent="0.35">
      <c r="C71" s="1145" t="s">
        <v>487</v>
      </c>
      <c r="D71" s="1146"/>
      <c r="E71" s="1164"/>
      <c r="F71" s="1165"/>
      <c r="G71" s="1165"/>
      <c r="H71" s="1135"/>
      <c r="I71" s="1188"/>
      <c r="J71" s="1189"/>
      <c r="K71" s="1189"/>
      <c r="L71" s="1189"/>
      <c r="M71" s="1189"/>
      <c r="N71" s="1189"/>
      <c r="O71" s="1189"/>
      <c r="P71" s="1189"/>
      <c r="Q71" s="1189"/>
      <c r="R71" s="1189"/>
      <c r="S71" s="1189"/>
      <c r="T71" s="1189"/>
      <c r="U71" s="1190"/>
      <c r="V71" s="1191"/>
      <c r="W71" s="558"/>
    </row>
    <row r="72" spans="3:23" x14ac:dyDescent="0.35">
      <c r="C72" s="1148" t="s">
        <v>477</v>
      </c>
      <c r="D72" s="1149"/>
      <c r="E72" s="1150"/>
      <c r="F72" s="1151"/>
      <c r="G72" s="1151"/>
      <c r="H72" s="1152"/>
      <c r="I72" s="1181"/>
      <c r="J72" s="1182"/>
      <c r="K72" s="1182"/>
      <c r="L72" s="1182"/>
      <c r="M72" s="1182"/>
      <c r="N72" s="1182"/>
      <c r="O72" s="1182"/>
      <c r="P72" s="1186"/>
      <c r="Q72" s="1186"/>
      <c r="R72" s="1186"/>
      <c r="S72" s="1186"/>
      <c r="T72" s="1186"/>
      <c r="U72" s="1186"/>
      <c r="V72" s="1185"/>
    </row>
    <row r="73" spans="3:23" ht="41.5" x14ac:dyDescent="0.35">
      <c r="C73" s="1166" t="s">
        <v>478</v>
      </c>
      <c r="D73" s="1154"/>
      <c r="E73" s="1150"/>
      <c r="F73" s="1151"/>
      <c r="G73" s="1151"/>
      <c r="H73" s="1167"/>
      <c r="I73" s="1181">
        <v>13279932.870000003</v>
      </c>
      <c r="J73" s="1182">
        <v>13701353.770000001</v>
      </c>
      <c r="K73" s="1182">
        <v>22450510.799999997</v>
      </c>
      <c r="L73" s="1182">
        <v>29961640.270000003</v>
      </c>
      <c r="M73" s="1182">
        <v>46177210.830000013</v>
      </c>
      <c r="N73" s="1182">
        <v>83556268.669999987</v>
      </c>
      <c r="O73" s="1182">
        <v>85536688.759999976</v>
      </c>
      <c r="P73" s="1192">
        <v>93565842.159999996</v>
      </c>
      <c r="Q73" s="1179">
        <v>100594874.18999998</v>
      </c>
      <c r="R73" s="1179">
        <v>97860164.309999973</v>
      </c>
      <c r="S73" s="1179">
        <v>103586792.38999999</v>
      </c>
      <c r="T73" s="1179">
        <v>116594514.44</v>
      </c>
      <c r="U73" s="1179">
        <v>210449233.46999997</v>
      </c>
      <c r="V73" s="1185">
        <v>245376842.23999998</v>
      </c>
    </row>
    <row r="74" spans="3:23" x14ac:dyDescent="0.35">
      <c r="C74" s="1156" t="s">
        <v>479</v>
      </c>
      <c r="D74" s="1157"/>
      <c r="E74" s="1150"/>
      <c r="F74" s="1151"/>
      <c r="G74" s="1151"/>
      <c r="H74" s="1158"/>
      <c r="I74" s="1181"/>
      <c r="J74" s="1182"/>
      <c r="K74" s="1182"/>
      <c r="L74" s="1182"/>
      <c r="M74" s="1182"/>
      <c r="N74" s="1182"/>
      <c r="O74" s="1182"/>
      <c r="P74" s="1183"/>
      <c r="Q74" s="1179"/>
      <c r="R74" s="1179"/>
      <c r="S74" s="1179"/>
      <c r="T74" s="1179"/>
      <c r="U74" s="1179"/>
      <c r="V74" s="1185"/>
    </row>
    <row r="75" spans="3:23" x14ac:dyDescent="0.35">
      <c r="C75" s="1156" t="s">
        <v>480</v>
      </c>
      <c r="D75" s="1157"/>
      <c r="E75" s="1150"/>
      <c r="F75" s="1151"/>
      <c r="G75" s="1151"/>
      <c r="H75" s="1158"/>
      <c r="I75" s="1203">
        <v>9827150.3238000013</v>
      </c>
      <c r="J75" s="1207">
        <v>10139001.789800001</v>
      </c>
      <c r="K75" s="1207">
        <v>16613377.991999997</v>
      </c>
      <c r="L75" s="1207">
        <v>22171613.799800001</v>
      </c>
      <c r="M75" s="1207">
        <v>34171136.014200009</v>
      </c>
      <c r="N75" s="1207">
        <v>61831638.815799989</v>
      </c>
      <c r="O75" s="1207">
        <v>63297149.682399981</v>
      </c>
      <c r="P75" s="1159">
        <v>69238723.198399991</v>
      </c>
      <c r="Q75" s="1171">
        <v>74440206.900599986</v>
      </c>
      <c r="R75" s="1171">
        <v>72416521.589399979</v>
      </c>
      <c r="S75" s="1171">
        <v>76654226.368599981</v>
      </c>
      <c r="T75" s="1171">
        <v>86279940.685599998</v>
      </c>
      <c r="U75" s="1171">
        <v>155732432.76779997</v>
      </c>
      <c r="V75" s="1206">
        <v>181578863.25759998</v>
      </c>
    </row>
    <row r="76" spans="3:23" x14ac:dyDescent="0.35">
      <c r="C76" s="1156" t="s">
        <v>481</v>
      </c>
      <c r="D76" s="1157"/>
      <c r="E76" s="1150"/>
      <c r="F76" s="1151"/>
      <c r="G76" s="1151"/>
      <c r="H76" s="1158"/>
      <c r="I76" s="1203"/>
      <c r="J76" s="1207"/>
      <c r="K76" s="1207"/>
      <c r="L76" s="1207"/>
      <c r="M76" s="1207"/>
      <c r="N76" s="1207"/>
      <c r="O76" s="1207"/>
      <c r="P76" s="1159"/>
      <c r="Q76" s="1171"/>
      <c r="R76" s="1171"/>
      <c r="S76" s="1171"/>
      <c r="T76" s="1171"/>
      <c r="U76" s="1171"/>
      <c r="V76" s="1206"/>
    </row>
    <row r="77" spans="3:23" ht="28" x14ac:dyDescent="0.35">
      <c r="C77" s="1166" t="s">
        <v>482</v>
      </c>
      <c r="D77" s="1154"/>
      <c r="E77" s="1150"/>
      <c r="F77" s="1151"/>
      <c r="G77" s="1151"/>
      <c r="H77" s="1167"/>
      <c r="I77" s="1203">
        <v>5935638.3399999999</v>
      </c>
      <c r="J77" s="1207">
        <v>6130403.3700000001</v>
      </c>
      <c r="K77" s="1207">
        <v>6176835.080000001</v>
      </c>
      <c r="L77" s="1207">
        <v>5888602.1699999999</v>
      </c>
      <c r="M77" s="1207">
        <v>5222617.07</v>
      </c>
      <c r="N77" s="1207">
        <v>6690915.6100000003</v>
      </c>
      <c r="O77" s="1207">
        <v>6616442.6299999999</v>
      </c>
      <c r="P77" s="1208">
        <v>9368256.0299999993</v>
      </c>
      <c r="Q77" s="1171">
        <v>9706294.9800000004</v>
      </c>
      <c r="R77" s="1171">
        <v>7535683.6100000003</v>
      </c>
      <c r="S77" s="1171">
        <v>8231494.5599999987</v>
      </c>
      <c r="T77" s="1171">
        <v>11259409.299999999</v>
      </c>
      <c r="U77" s="1171">
        <v>11521201.75</v>
      </c>
      <c r="V77" s="1206">
        <v>11723175.119999999</v>
      </c>
    </row>
    <row r="78" spans="3:23" x14ac:dyDescent="0.35">
      <c r="C78" s="1161" t="s">
        <v>483</v>
      </c>
      <c r="D78" s="1162"/>
      <c r="E78" s="1150"/>
      <c r="F78" s="1151"/>
      <c r="G78" s="1151"/>
      <c r="H78" s="1163"/>
      <c r="I78" s="1181"/>
      <c r="J78" s="1182"/>
      <c r="K78" s="1182"/>
      <c r="L78" s="1182"/>
      <c r="M78" s="1182"/>
      <c r="N78" s="1182"/>
      <c r="O78" s="1182"/>
      <c r="P78" s="1186"/>
      <c r="Q78" s="1186"/>
      <c r="R78" s="1186"/>
      <c r="S78" s="1186"/>
      <c r="T78" s="1186"/>
      <c r="U78" s="1186"/>
      <c r="V78" s="1185"/>
    </row>
    <row r="79" spans="3:23" x14ac:dyDescent="0.35">
      <c r="C79" s="1168" t="s">
        <v>488</v>
      </c>
      <c r="D79" s="1169"/>
      <c r="E79" s="1170"/>
      <c r="F79" s="1165"/>
      <c r="G79" s="1165"/>
      <c r="H79" s="1135"/>
      <c r="I79" s="1193">
        <f>I73+I64+I55+I46+I37</f>
        <v>3417244705.0889726</v>
      </c>
      <c r="J79" s="1194">
        <f t="shared" ref="J79:T79" si="0">J73+J64+J55+J46+J37</f>
        <v>3665277861.9621916</v>
      </c>
      <c r="K79" s="1194">
        <f t="shared" si="0"/>
        <v>4028130416.9082642</v>
      </c>
      <c r="L79" s="1194">
        <f t="shared" si="0"/>
        <v>3801567290.8432598</v>
      </c>
      <c r="M79" s="1194">
        <f t="shared" si="0"/>
        <v>3888431192.5540667</v>
      </c>
      <c r="N79" s="1194">
        <f t="shared" si="0"/>
        <v>3733035785.423934</v>
      </c>
      <c r="O79" s="1194">
        <f t="shared" si="0"/>
        <v>3839196003.5676413</v>
      </c>
      <c r="P79" s="1194">
        <f t="shared" si="0"/>
        <v>3980163861.3893504</v>
      </c>
      <c r="Q79" s="1194">
        <f t="shared" si="0"/>
        <v>4057137047.3797278</v>
      </c>
      <c r="R79" s="1194">
        <f t="shared" si="0"/>
        <v>3893283605.0391889</v>
      </c>
      <c r="S79" s="1194">
        <f t="shared" si="0"/>
        <v>4089020756.6196098</v>
      </c>
      <c r="T79" s="1194">
        <f t="shared" si="0"/>
        <v>5157626721.4974604</v>
      </c>
      <c r="U79" s="1194">
        <f>U73+U64+U55+U46+U37</f>
        <v>6647931846.1487074</v>
      </c>
      <c r="V79" s="1195">
        <f>V73+V64+V55+V46+V37</f>
        <v>6330360736.339922</v>
      </c>
    </row>
    <row r="80" spans="3:23" x14ac:dyDescent="0.35">
      <c r="C80" s="371" t="s">
        <v>489</v>
      </c>
      <c r="D80" s="554"/>
      <c r="E80" s="370"/>
      <c r="F80" s="370"/>
      <c r="G80" s="370"/>
      <c r="H80" s="554"/>
      <c r="P80" s="371"/>
      <c r="Q80" s="372"/>
      <c r="R80" s="372"/>
      <c r="S80" s="372"/>
      <c r="T80" s="370"/>
      <c r="U80" s="370"/>
    </row>
    <row r="81" spans="1:22" x14ac:dyDescent="0.35">
      <c r="C81" s="372" t="s">
        <v>490</v>
      </c>
      <c r="D81" s="370"/>
      <c r="E81" s="370"/>
      <c r="F81" s="370"/>
      <c r="G81" s="370"/>
      <c r="H81" s="372"/>
      <c r="P81" s="372"/>
      <c r="Q81" s="372"/>
      <c r="R81" s="372"/>
      <c r="S81" s="372"/>
      <c r="T81" s="370"/>
      <c r="U81" s="370"/>
    </row>
    <row r="82" spans="1:22" x14ac:dyDescent="0.35">
      <c r="C82" s="372" t="s">
        <v>491</v>
      </c>
      <c r="D82" s="370"/>
      <c r="E82" s="370"/>
      <c r="F82" s="370"/>
      <c r="G82" s="370"/>
      <c r="H82" s="372"/>
      <c r="P82" s="372"/>
      <c r="Q82" s="372"/>
      <c r="R82" s="372"/>
      <c r="S82" s="372"/>
      <c r="T82" s="370"/>
      <c r="U82" s="370"/>
    </row>
    <row r="83" spans="1:22" x14ac:dyDescent="0.35">
      <c r="C83" s="372" t="s">
        <v>492</v>
      </c>
      <c r="D83" s="370"/>
      <c r="E83" s="370"/>
      <c r="F83" s="370"/>
      <c r="G83" s="370"/>
      <c r="H83" s="372"/>
      <c r="P83" s="372"/>
      <c r="Q83" s="372"/>
      <c r="R83" s="372"/>
      <c r="S83" s="372"/>
      <c r="T83" s="370"/>
      <c r="U83" s="370"/>
    </row>
    <row r="84" spans="1:22" x14ac:dyDescent="0.35">
      <c r="C84" s="466" t="s">
        <v>493</v>
      </c>
      <c r="D84" s="550"/>
      <c r="H84" s="466"/>
      <c r="P84" s="466"/>
    </row>
    <row r="85" spans="1:22" x14ac:dyDescent="0.35">
      <c r="C85" s="372" t="s">
        <v>494</v>
      </c>
      <c r="H85" s="372"/>
    </row>
    <row r="87" spans="1:22" x14ac:dyDescent="0.35">
      <c r="C87" s="7" t="s">
        <v>495</v>
      </c>
    </row>
    <row r="89" spans="1:22" x14ac:dyDescent="0.35">
      <c r="C89" t="s">
        <v>496</v>
      </c>
    </row>
    <row r="91" spans="1:22" x14ac:dyDescent="0.35">
      <c r="C91" s="261" t="s">
        <v>497</v>
      </c>
      <c r="D91" s="267"/>
    </row>
    <row r="93" spans="1:22" x14ac:dyDescent="0.35">
      <c r="A93" t="s">
        <v>498</v>
      </c>
      <c r="C93" t="s">
        <v>499</v>
      </c>
    </row>
    <row r="95" spans="1:22" x14ac:dyDescent="0.35">
      <c r="A95" s="144" t="s">
        <v>500</v>
      </c>
      <c r="C95" s="15" t="s">
        <v>501</v>
      </c>
    </row>
    <row r="96" spans="1:22" x14ac:dyDescent="0.35">
      <c r="C96" s="478"/>
      <c r="D96" s="63"/>
      <c r="E96" s="63"/>
      <c r="F96" s="63"/>
      <c r="G96" s="64"/>
      <c r="I96" s="418">
        <v>2011</v>
      </c>
      <c r="J96" s="419">
        <v>2012</v>
      </c>
      <c r="K96" s="419">
        <v>2013</v>
      </c>
      <c r="L96" s="419">
        <v>2014</v>
      </c>
      <c r="M96" s="419">
        <v>2015</v>
      </c>
      <c r="N96" s="419">
        <v>2016</v>
      </c>
      <c r="O96" s="419">
        <v>2017</v>
      </c>
      <c r="P96" s="419">
        <v>2018</v>
      </c>
      <c r="Q96" s="419">
        <v>2019</v>
      </c>
      <c r="R96" s="419">
        <v>2020</v>
      </c>
      <c r="S96" s="419">
        <v>2021</v>
      </c>
      <c r="T96" s="419">
        <v>2022</v>
      </c>
      <c r="U96" s="420">
        <v>2023</v>
      </c>
      <c r="V96" s="560"/>
    </row>
    <row r="97" spans="3:22" x14ac:dyDescent="0.35">
      <c r="C97" s="477" t="s">
        <v>502</v>
      </c>
      <c r="G97" s="31"/>
      <c r="I97" s="471">
        <v>12.26994262</v>
      </c>
      <c r="J97" s="559">
        <v>14.59141982</v>
      </c>
      <c r="K97" s="559">
        <v>14.06450691</v>
      </c>
      <c r="L97" s="559">
        <v>10.39434784</v>
      </c>
      <c r="M97" s="559">
        <v>11.758205390000001</v>
      </c>
      <c r="N97" s="559">
        <v>12.61650084</v>
      </c>
      <c r="O97" s="559">
        <v>12.334412820000001</v>
      </c>
      <c r="P97" s="559">
        <v>12.54802844</v>
      </c>
      <c r="Q97" s="559">
        <v>12.03626951</v>
      </c>
      <c r="R97" s="559">
        <v>11.993754190000001</v>
      </c>
      <c r="S97" s="559">
        <v>13.807755480000001</v>
      </c>
      <c r="T97" s="559">
        <v>10.578457670000001</v>
      </c>
      <c r="U97" s="472">
        <v>11.46084258</v>
      </c>
    </row>
    <row r="98" spans="3:22" x14ac:dyDescent="0.35">
      <c r="C98" s="477" t="s">
        <v>503</v>
      </c>
      <c r="G98" s="31"/>
      <c r="I98" s="471">
        <v>2.4351155750000002</v>
      </c>
      <c r="J98" s="559">
        <v>2.6132525040000001</v>
      </c>
      <c r="K98" s="559">
        <v>3.0799128269999998</v>
      </c>
      <c r="L98" s="559">
        <v>2.7918991360000001</v>
      </c>
      <c r="M98" s="559">
        <v>2.2380585750000002</v>
      </c>
      <c r="N98" s="559">
        <v>1.883921132</v>
      </c>
      <c r="O98" s="559">
        <v>1.4916486900000001</v>
      </c>
      <c r="P98" s="559">
        <v>1.531231682</v>
      </c>
      <c r="Q98" s="559">
        <v>1.232159354</v>
      </c>
      <c r="R98" s="559">
        <v>0.82960616499999995</v>
      </c>
      <c r="S98" s="559">
        <v>0.819132427</v>
      </c>
      <c r="T98" s="559">
        <v>0.67385046400000004</v>
      </c>
      <c r="U98" s="472">
        <v>0.27937863600000001</v>
      </c>
    </row>
    <row r="99" spans="3:22" x14ac:dyDescent="0.35">
      <c r="C99" s="477" t="s">
        <v>504</v>
      </c>
      <c r="G99" s="31"/>
      <c r="I99" s="471">
        <v>0.39750069999999998</v>
      </c>
      <c r="J99" s="559">
        <v>0.387096</v>
      </c>
      <c r="K99" s="559">
        <v>0.50362706999999995</v>
      </c>
      <c r="L99" s="559">
        <v>0.40386279899999999</v>
      </c>
      <c r="M99" s="559">
        <v>0.43601005900000001</v>
      </c>
      <c r="N99" s="559">
        <v>0.47618795899999999</v>
      </c>
      <c r="O99" s="559">
        <v>0.52188158200000001</v>
      </c>
      <c r="P99" s="559">
        <v>0.58834053200000003</v>
      </c>
      <c r="Q99" s="559">
        <v>0.552209281</v>
      </c>
      <c r="R99" s="559">
        <v>0.57773586399999999</v>
      </c>
      <c r="S99" s="559">
        <v>0.642720862</v>
      </c>
      <c r="T99" s="559">
        <v>0.56447540399999996</v>
      </c>
      <c r="U99" s="472">
        <v>0.67982630600000005</v>
      </c>
    </row>
    <row r="100" spans="3:22" x14ac:dyDescent="0.35">
      <c r="C100" s="477" t="s">
        <v>505</v>
      </c>
      <c r="G100" s="31"/>
      <c r="I100" s="471">
        <v>1.777940705</v>
      </c>
      <c r="J100" s="559">
        <v>1.6807246870000001</v>
      </c>
      <c r="K100" s="559">
        <v>1.711434098</v>
      </c>
      <c r="L100" s="559">
        <v>0.75182930000000003</v>
      </c>
      <c r="M100" s="559">
        <v>0.82461785399999998</v>
      </c>
      <c r="N100" s="559">
        <v>0.32828696099999999</v>
      </c>
      <c r="O100" s="559">
        <v>0.31492668099999999</v>
      </c>
      <c r="P100" s="559">
        <v>0.22378490300000001</v>
      </c>
      <c r="Q100" s="559">
        <v>0.19863017099999999</v>
      </c>
      <c r="R100" s="559">
        <v>0.103690606</v>
      </c>
      <c r="S100" s="559">
        <v>0.149683596</v>
      </c>
      <c r="T100" s="559">
        <v>0.247215882</v>
      </c>
      <c r="U100" s="472">
        <v>9.2565961000000002E-2</v>
      </c>
    </row>
    <row r="101" spans="3:22" x14ac:dyDescent="0.35">
      <c r="C101" s="477" t="s">
        <v>506</v>
      </c>
      <c r="G101" s="31"/>
      <c r="I101" s="471">
        <v>3.9699999999999996E-3</v>
      </c>
      <c r="J101" s="559">
        <v>3.3370000000000001E-3</v>
      </c>
      <c r="K101" s="559">
        <v>6.5709999999999996E-3</v>
      </c>
      <c r="L101" s="559">
        <v>1.9419809999999999E-2</v>
      </c>
      <c r="M101" s="559">
        <v>3.41693E-2</v>
      </c>
      <c r="N101" s="559">
        <v>2.7300680000000001E-2</v>
      </c>
      <c r="O101" s="559">
        <v>4.3948085999999997E-2</v>
      </c>
      <c r="P101" s="559">
        <v>6.4429459999999994E-2</v>
      </c>
      <c r="Q101" s="559">
        <v>9.6834749999999997E-2</v>
      </c>
      <c r="R101" s="559">
        <v>0.11110134200000001</v>
      </c>
      <c r="S101" s="559">
        <v>0.11660002</v>
      </c>
      <c r="T101" s="559">
        <v>0.17919899</v>
      </c>
      <c r="U101" s="472">
        <v>0.20102869700000001</v>
      </c>
    </row>
    <row r="102" spans="3:22" x14ac:dyDescent="0.35">
      <c r="C102" s="477" t="s">
        <v>507</v>
      </c>
      <c r="G102" s="31"/>
      <c r="I102" s="471">
        <v>1.5590366200000001</v>
      </c>
      <c r="J102" s="559">
        <v>0.49014716000000003</v>
      </c>
      <c r="K102" s="559">
        <v>1.5423097100000001</v>
      </c>
      <c r="L102" s="559">
        <v>0.21098839999999999</v>
      </c>
      <c r="M102" s="559">
        <v>0.1691397</v>
      </c>
      <c r="N102" s="559">
        <v>0.22550120000000001</v>
      </c>
      <c r="O102" s="559">
        <v>0.21571180000000001</v>
      </c>
      <c r="P102" s="559">
        <v>0.29246729999999999</v>
      </c>
      <c r="Q102" s="559">
        <v>0.30668319999999999</v>
      </c>
      <c r="R102" s="559">
        <v>0.42152572999999999</v>
      </c>
      <c r="S102" s="559">
        <v>0.51952673999999999</v>
      </c>
      <c r="T102" s="559">
        <v>0.52603038000000002</v>
      </c>
      <c r="U102" s="472">
        <v>0.45381748700000002</v>
      </c>
    </row>
    <row r="103" spans="3:22" x14ac:dyDescent="0.35">
      <c r="C103" s="477" t="s">
        <v>508</v>
      </c>
      <c r="G103" s="31"/>
      <c r="I103" s="471">
        <v>3.142182</v>
      </c>
      <c r="J103" s="559">
        <v>3.5531605000000002</v>
      </c>
      <c r="K103" s="559">
        <v>3.3137080000000001</v>
      </c>
      <c r="L103" s="559">
        <v>4.1350971169999999</v>
      </c>
      <c r="M103" s="559">
        <v>4.0572576739999997</v>
      </c>
      <c r="N103" s="559">
        <v>4.2866823370000002</v>
      </c>
      <c r="O103" s="559">
        <v>4.8289316629999997</v>
      </c>
      <c r="P103" s="559">
        <v>5.0505360650000002</v>
      </c>
      <c r="Q103" s="559">
        <v>4.8431329329999997</v>
      </c>
      <c r="R103" s="559">
        <v>4.7732645070000004</v>
      </c>
      <c r="S103" s="559">
        <v>5.4045869140000002</v>
      </c>
      <c r="T103" s="559">
        <v>5.1848040490000002</v>
      </c>
      <c r="U103" s="472">
        <v>4.984828137</v>
      </c>
    </row>
    <row r="104" spans="3:22" x14ac:dyDescent="0.35">
      <c r="C104" s="477" t="s">
        <v>509</v>
      </c>
      <c r="G104" s="31"/>
      <c r="I104" s="471">
        <v>5.548197461</v>
      </c>
      <c r="J104" s="559">
        <v>6.5066298470000001</v>
      </c>
      <c r="K104" s="559">
        <v>7.6423636080000001</v>
      </c>
      <c r="L104" s="559">
        <v>8.7967453629999994</v>
      </c>
      <c r="M104" s="559">
        <v>10.55128165</v>
      </c>
      <c r="N104" s="559">
        <v>12.531550920000001</v>
      </c>
      <c r="O104" s="559">
        <v>13.53342582</v>
      </c>
      <c r="P104" s="559">
        <v>13.72804751</v>
      </c>
      <c r="Q104" s="559">
        <v>14.794510450000001</v>
      </c>
      <c r="R104" s="559">
        <v>14.678442499999999</v>
      </c>
      <c r="S104" s="559">
        <v>17.707800979999998</v>
      </c>
      <c r="T104" s="559">
        <v>17.178864050000001</v>
      </c>
      <c r="U104" s="472">
        <v>17.032924319999999</v>
      </c>
    </row>
    <row r="105" spans="3:22" x14ac:dyDescent="0.35">
      <c r="C105" s="477" t="s">
        <v>510</v>
      </c>
      <c r="G105" s="31"/>
      <c r="I105" s="471">
        <v>27.133885679999999</v>
      </c>
      <c r="J105" s="559">
        <v>29.825767519999999</v>
      </c>
      <c r="K105" s="559">
        <v>31.864433219999999</v>
      </c>
      <c r="L105" s="559">
        <v>27.502889759999999</v>
      </c>
      <c r="M105" s="559">
        <v>30.068740200000001</v>
      </c>
      <c r="N105" s="559">
        <v>32.375019029999997</v>
      </c>
      <c r="O105" s="559">
        <v>33.283445839999999</v>
      </c>
      <c r="P105" s="559">
        <v>34.024689889999998</v>
      </c>
      <c r="Q105" s="559">
        <v>34.058200650000003</v>
      </c>
      <c r="R105" s="559">
        <v>33.486932879999998</v>
      </c>
      <c r="S105" s="559">
        <v>39.162551379999996</v>
      </c>
      <c r="T105" s="559">
        <v>35.127858459999999</v>
      </c>
      <c r="U105" s="472">
        <v>35.177869080000001</v>
      </c>
    </row>
    <row r="106" spans="3:22" x14ac:dyDescent="0.35">
      <c r="C106" s="477" t="s">
        <v>511</v>
      </c>
      <c r="G106" s="31"/>
      <c r="I106" s="471">
        <v>20.375271999999999</v>
      </c>
      <c r="J106" s="559">
        <v>22.197682</v>
      </c>
      <c r="K106" s="559">
        <v>23.528315150000001</v>
      </c>
      <c r="L106" s="559">
        <v>20.214845360000002</v>
      </c>
      <c r="M106" s="559">
        <v>22.20505434</v>
      </c>
      <c r="N106" s="559">
        <v>24.23612262</v>
      </c>
      <c r="O106" s="559">
        <v>24.939787679999998</v>
      </c>
      <c r="P106" s="559">
        <v>25.197314630000001</v>
      </c>
      <c r="Q106" s="559">
        <v>25.415002390000001</v>
      </c>
      <c r="R106" s="559">
        <v>25.191082040000001</v>
      </c>
      <c r="S106" s="559">
        <v>29.554438680000001</v>
      </c>
      <c r="T106" s="559">
        <v>26.104212610000001</v>
      </c>
      <c r="U106" s="472">
        <v>26.084333640000001</v>
      </c>
    </row>
    <row r="107" spans="3:22" x14ac:dyDescent="0.35">
      <c r="C107" s="470" t="s">
        <v>507</v>
      </c>
      <c r="D107" s="100"/>
      <c r="E107" s="100"/>
      <c r="F107" s="100"/>
      <c r="G107" s="33"/>
      <c r="I107" s="473">
        <v>1.9605073200000001</v>
      </c>
      <c r="J107" s="474">
        <v>0.88058015999999995</v>
      </c>
      <c r="K107" s="474">
        <v>2.05250778</v>
      </c>
      <c r="L107" s="474">
        <v>0.634271009</v>
      </c>
      <c r="M107" s="474">
        <v>0.63931905899999997</v>
      </c>
      <c r="N107" s="474">
        <v>0.72898984</v>
      </c>
      <c r="O107" s="474">
        <v>0.78154146800000002</v>
      </c>
      <c r="P107" s="474">
        <v>0.94523729199999995</v>
      </c>
      <c r="Q107" s="474">
        <v>0.95572723100000001</v>
      </c>
      <c r="R107" s="474">
        <v>1.1103629370000001</v>
      </c>
      <c r="S107" s="474">
        <v>1.278847622</v>
      </c>
      <c r="T107" s="474">
        <v>1.269704774</v>
      </c>
      <c r="U107" s="475">
        <v>1.33467249</v>
      </c>
    </row>
    <row r="109" spans="3:22" x14ac:dyDescent="0.35">
      <c r="C109" s="15" t="s">
        <v>512</v>
      </c>
    </row>
    <row r="110" spans="3:22" x14ac:dyDescent="0.35">
      <c r="C110" s="478"/>
      <c r="D110" s="63"/>
      <c r="E110" s="63"/>
      <c r="F110" s="63"/>
      <c r="G110" s="64"/>
      <c r="I110" s="418">
        <v>2011</v>
      </c>
      <c r="J110" s="419">
        <v>2012</v>
      </c>
      <c r="K110" s="419">
        <v>2013</v>
      </c>
      <c r="L110" s="419">
        <v>2014</v>
      </c>
      <c r="M110" s="419">
        <v>2015</v>
      </c>
      <c r="N110" s="419">
        <v>2016</v>
      </c>
      <c r="O110" s="419">
        <v>2017</v>
      </c>
      <c r="P110" s="419">
        <v>2018</v>
      </c>
      <c r="Q110" s="419">
        <v>2019</v>
      </c>
      <c r="R110" s="419">
        <v>2020</v>
      </c>
      <c r="S110" s="419">
        <v>2021</v>
      </c>
      <c r="T110" s="419">
        <v>2022</v>
      </c>
      <c r="U110" s="420">
        <v>2023</v>
      </c>
      <c r="V110" s="560"/>
    </row>
    <row r="111" spans="3:22" x14ac:dyDescent="0.35">
      <c r="C111" s="476" t="s">
        <v>509</v>
      </c>
      <c r="D111" s="73"/>
      <c r="E111" s="73"/>
      <c r="F111" s="73"/>
      <c r="G111" s="29"/>
      <c r="I111" s="432">
        <f>I104/I105</f>
        <v>0.20447485945920002</v>
      </c>
      <c r="J111" s="395">
        <f t="shared" ref="J111:U111" si="1">J104/J105</f>
        <v>0.21815464908445045</v>
      </c>
      <c r="K111" s="395">
        <f t="shared" si="1"/>
        <v>0.23983993549281779</v>
      </c>
      <c r="L111" s="395">
        <f t="shared" si="1"/>
        <v>0.31984803923382338</v>
      </c>
      <c r="M111" s="395">
        <f t="shared" si="1"/>
        <v>0.3509053448803951</v>
      </c>
      <c r="N111" s="395">
        <f t="shared" si="1"/>
        <v>0.38707470436967961</v>
      </c>
      <c r="O111" s="395">
        <f t="shared" si="1"/>
        <v>0.40661131918425186</v>
      </c>
      <c r="P111" s="395">
        <f t="shared" si="1"/>
        <v>0.40347311186030038</v>
      </c>
      <c r="Q111" s="395">
        <f t="shared" si="1"/>
        <v>0.43438908009369542</v>
      </c>
      <c r="R111" s="395">
        <f t="shared" si="1"/>
        <v>0.43833344046765982</v>
      </c>
      <c r="S111" s="395">
        <f t="shared" si="1"/>
        <v>0.4521615767108379</v>
      </c>
      <c r="T111" s="395">
        <f t="shared" si="1"/>
        <v>0.48903818231793234</v>
      </c>
      <c r="U111" s="351">
        <f t="shared" si="1"/>
        <v>0.48419431777588501</v>
      </c>
    </row>
    <row r="112" spans="3:22" x14ac:dyDescent="0.35">
      <c r="C112" s="74" t="s">
        <v>513</v>
      </c>
      <c r="G112" s="31"/>
      <c r="I112" s="138">
        <f>I103/I105</f>
        <v>0.11580287604425406</v>
      </c>
      <c r="J112" s="139">
        <f t="shared" ref="J112:U112" si="2">J103/J105</f>
        <v>0.11913056378573959</v>
      </c>
      <c r="K112" s="139">
        <f t="shared" si="2"/>
        <v>0.10399394136783582</v>
      </c>
      <c r="L112" s="139">
        <f t="shared" si="2"/>
        <v>0.15035136864105295</v>
      </c>
      <c r="M112" s="139">
        <f t="shared" si="2"/>
        <v>0.13493274566920499</v>
      </c>
      <c r="N112" s="139">
        <f t="shared" si="2"/>
        <v>0.13240709860364214</v>
      </c>
      <c r="O112" s="139">
        <f t="shared" si="2"/>
        <v>0.14508508783055737</v>
      </c>
      <c r="P112" s="139">
        <f t="shared" si="2"/>
        <v>0.148437387124706</v>
      </c>
      <c r="Q112" s="139">
        <f t="shared" si="2"/>
        <v>0.14220166775017221</v>
      </c>
      <c r="R112" s="139">
        <f t="shared" si="2"/>
        <v>0.14254110772416612</v>
      </c>
      <c r="S112" s="139">
        <f t="shared" si="2"/>
        <v>0.13800395335734125</v>
      </c>
      <c r="T112" s="139">
        <f t="shared" si="2"/>
        <v>0.14759806820856794</v>
      </c>
      <c r="U112" s="140">
        <f t="shared" si="2"/>
        <v>0.141703527455393</v>
      </c>
    </row>
    <row r="113" spans="1:21" x14ac:dyDescent="0.35">
      <c r="C113" s="99" t="s">
        <v>514</v>
      </c>
      <c r="D113" s="100"/>
      <c r="E113" s="100"/>
      <c r="F113" s="100"/>
      <c r="G113" s="33"/>
      <c r="I113" s="433">
        <f>I111+I112</f>
        <v>0.32027773550345406</v>
      </c>
      <c r="J113" s="393">
        <f t="shared" ref="J113:U113" si="3">J111+J112</f>
        <v>0.33728521287019003</v>
      </c>
      <c r="K113" s="393">
        <f t="shared" si="3"/>
        <v>0.34383387686065359</v>
      </c>
      <c r="L113" s="393">
        <f t="shared" si="3"/>
        <v>0.47019940787487635</v>
      </c>
      <c r="M113" s="393">
        <f t="shared" si="3"/>
        <v>0.48583809054960009</v>
      </c>
      <c r="N113" s="393">
        <f t="shared" si="3"/>
        <v>0.51948180297332169</v>
      </c>
      <c r="O113" s="393">
        <f t="shared" si="3"/>
        <v>0.55169640701480926</v>
      </c>
      <c r="P113" s="393">
        <f t="shared" si="3"/>
        <v>0.55191049898500633</v>
      </c>
      <c r="Q113" s="393">
        <f t="shared" si="3"/>
        <v>0.57659074784386766</v>
      </c>
      <c r="R113" s="393">
        <f t="shared" si="3"/>
        <v>0.58087454819182593</v>
      </c>
      <c r="S113" s="393">
        <f t="shared" si="3"/>
        <v>0.59016553006817918</v>
      </c>
      <c r="T113" s="393">
        <f t="shared" si="3"/>
        <v>0.6366362505265003</v>
      </c>
      <c r="U113" s="394">
        <f t="shared" si="3"/>
        <v>0.625897845231278</v>
      </c>
    </row>
    <row r="116" spans="1:21" x14ac:dyDescent="0.35">
      <c r="C116" s="261" t="s">
        <v>515</v>
      </c>
    </row>
    <row r="118" spans="1:21" x14ac:dyDescent="0.35">
      <c r="C118" t="s">
        <v>516</v>
      </c>
    </row>
    <row r="119" spans="1:21" x14ac:dyDescent="0.35">
      <c r="C119" t="s">
        <v>517</v>
      </c>
    </row>
    <row r="121" spans="1:21" x14ac:dyDescent="0.35">
      <c r="A121" s="144" t="s">
        <v>518</v>
      </c>
    </row>
    <row r="122" spans="1:21" x14ac:dyDescent="0.35">
      <c r="D122" s="254" t="s">
        <v>519</v>
      </c>
      <c r="E122" s="590" t="s">
        <v>520</v>
      </c>
      <c r="F122" s="591" t="s">
        <v>520</v>
      </c>
    </row>
    <row r="123" spans="1:21" x14ac:dyDescent="0.35">
      <c r="C123" s="65" t="s">
        <v>413</v>
      </c>
      <c r="D123" s="63" t="s">
        <v>521</v>
      </c>
      <c r="E123" s="63" t="s">
        <v>521</v>
      </c>
      <c r="F123" s="64" t="s">
        <v>464</v>
      </c>
    </row>
    <row r="124" spans="1:21" x14ac:dyDescent="0.35">
      <c r="C124" s="74" t="s">
        <v>85</v>
      </c>
      <c r="D124">
        <v>361.7</v>
      </c>
      <c r="E124">
        <v>279</v>
      </c>
      <c r="F124" s="140">
        <f>E124/$E$130</f>
        <v>0.61684722529294722</v>
      </c>
    </row>
    <row r="125" spans="1:21" x14ac:dyDescent="0.35">
      <c r="C125" s="74" t="s">
        <v>522</v>
      </c>
      <c r="D125">
        <v>74.7</v>
      </c>
      <c r="E125">
        <v>58.9</v>
      </c>
      <c r="F125" s="140">
        <f t="shared" ref="F125:F130" si="4">E125/$E$130</f>
        <v>0.13022330311739996</v>
      </c>
    </row>
    <row r="126" spans="1:21" x14ac:dyDescent="0.35">
      <c r="C126" s="74" t="s">
        <v>523</v>
      </c>
      <c r="D126">
        <v>46.6</v>
      </c>
      <c r="E126">
        <v>50.9</v>
      </c>
      <c r="F126" s="140">
        <f t="shared" si="4"/>
        <v>0.1125359274817599</v>
      </c>
    </row>
    <row r="127" spans="1:21" x14ac:dyDescent="0.35">
      <c r="C127" s="74" t="s">
        <v>524</v>
      </c>
      <c r="D127">
        <v>23.3</v>
      </c>
      <c r="E127">
        <v>21.5</v>
      </c>
      <c r="F127" s="140">
        <f t="shared" si="4"/>
        <v>4.7534822020782672E-2</v>
      </c>
    </row>
    <row r="128" spans="1:21" x14ac:dyDescent="0.35">
      <c r="C128" s="74" t="s">
        <v>525</v>
      </c>
      <c r="D128">
        <v>10.199999999999999</v>
      </c>
      <c r="E128">
        <v>10.4</v>
      </c>
      <c r="F128" s="140">
        <f t="shared" si="4"/>
        <v>2.2993588326332085E-2</v>
      </c>
    </row>
    <row r="129" spans="1:22" x14ac:dyDescent="0.35">
      <c r="C129" s="74" t="s">
        <v>526</v>
      </c>
      <c r="D129">
        <v>19.899999999999999</v>
      </c>
      <c r="E129">
        <v>31.6</v>
      </c>
      <c r="F129" s="140">
        <f t="shared" si="4"/>
        <v>6.9865133760778256E-2</v>
      </c>
    </row>
    <row r="130" spans="1:22" x14ac:dyDescent="0.35">
      <c r="C130" s="62" t="s">
        <v>277</v>
      </c>
      <c r="D130" s="353">
        <f>SUM(D124:D129)</f>
        <v>536.4</v>
      </c>
      <c r="E130" s="353">
        <f>SUM(E124:E129)</f>
        <v>452.29999999999995</v>
      </c>
      <c r="F130" s="592">
        <f t="shared" si="4"/>
        <v>1</v>
      </c>
    </row>
    <row r="131" spans="1:22" x14ac:dyDescent="0.35">
      <c r="C131" s="15"/>
      <c r="D131" s="15"/>
      <c r="E131" s="15"/>
      <c r="F131" s="378"/>
    </row>
    <row r="132" spans="1:22" x14ac:dyDescent="0.35">
      <c r="A132" s="144" t="s">
        <v>518</v>
      </c>
      <c r="C132" s="15" t="s">
        <v>527</v>
      </c>
      <c r="H132" s="15"/>
    </row>
    <row r="133" spans="1:22" x14ac:dyDescent="0.35">
      <c r="A133" s="144"/>
      <c r="C133" s="482" t="s">
        <v>528</v>
      </c>
      <c r="D133" s="63"/>
      <c r="E133" s="63"/>
      <c r="F133" s="63"/>
      <c r="G133" s="64"/>
      <c r="H133" s="417"/>
      <c r="I133" s="418">
        <v>2011</v>
      </c>
      <c r="J133" s="419">
        <v>2012</v>
      </c>
      <c r="K133" s="419">
        <v>2013</v>
      </c>
      <c r="L133" s="419">
        <v>2014</v>
      </c>
      <c r="M133" s="419">
        <v>2015</v>
      </c>
      <c r="N133" s="419">
        <v>2016</v>
      </c>
      <c r="O133" s="419">
        <v>2017</v>
      </c>
      <c r="P133" s="419">
        <v>2018</v>
      </c>
      <c r="Q133" s="419">
        <v>2019</v>
      </c>
      <c r="R133" s="419">
        <v>2020</v>
      </c>
      <c r="S133" s="419">
        <v>2021</v>
      </c>
      <c r="T133" s="419">
        <v>2022</v>
      </c>
      <c r="U133" s="420">
        <v>2023</v>
      </c>
      <c r="V133" s="560"/>
    </row>
    <row r="134" spans="1:22" x14ac:dyDescent="0.35">
      <c r="C134" s="480" t="s">
        <v>523</v>
      </c>
      <c r="D134" s="417"/>
      <c r="E134" s="417"/>
      <c r="F134" s="417"/>
      <c r="G134" s="479"/>
      <c r="H134" s="417"/>
      <c r="I134" s="30">
        <v>2.225724397257244</v>
      </c>
      <c r="J134" s="183">
        <v>2.7570861416305061</v>
      </c>
      <c r="K134" s="183">
        <v>2.896123242379101</v>
      </c>
      <c r="L134" s="183">
        <v>3.1561493999516541</v>
      </c>
      <c r="M134" s="183">
        <v>3.8752904023568719</v>
      </c>
      <c r="N134" s="183">
        <v>3.9476080163965319</v>
      </c>
      <c r="O134" s="183">
        <v>4.5390885220238886</v>
      </c>
      <c r="P134" s="183">
        <v>5.130463642639298</v>
      </c>
      <c r="Q134" s="183">
        <v>6.300481265272623</v>
      </c>
      <c r="R134" s="183">
        <v>7.9408389730248938</v>
      </c>
      <c r="S134" s="183">
        <v>7.0651189549953104</v>
      </c>
      <c r="T134" s="183">
        <v>8.7239781887114152</v>
      </c>
      <c r="U134" s="51">
        <v>10.30825735742793</v>
      </c>
    </row>
    <row r="135" spans="1:22" x14ac:dyDescent="0.35">
      <c r="C135" s="480" t="s">
        <v>522</v>
      </c>
      <c r="G135" s="31"/>
      <c r="H135" s="417"/>
      <c r="I135" s="30">
        <v>9.2652805426528051</v>
      </c>
      <c r="J135" s="183">
        <v>11.778044501892721</v>
      </c>
      <c r="K135" s="183">
        <v>13.709988010027979</v>
      </c>
      <c r="L135" s="183">
        <v>12.5341446572082</v>
      </c>
      <c r="M135" s="183">
        <v>10.7839628335689</v>
      </c>
      <c r="N135" s="183">
        <v>11.99269022370901</v>
      </c>
      <c r="O135" s="183">
        <v>10.066867426034939</v>
      </c>
      <c r="P135" s="183">
        <v>12.38883046697226</v>
      </c>
      <c r="Q135" s="183">
        <v>11.11910280493947</v>
      </c>
      <c r="R135" s="183">
        <v>12.99321127051148</v>
      </c>
      <c r="S135" s="183">
        <v>11.86392944543349</v>
      </c>
      <c r="T135" s="183">
        <v>11.130568838164031</v>
      </c>
      <c r="U135" s="51">
        <v>11.92206994915014</v>
      </c>
    </row>
    <row r="136" spans="1:22" x14ac:dyDescent="0.35">
      <c r="C136" s="480" t="s">
        <v>85</v>
      </c>
      <c r="G136" s="31"/>
      <c r="H136" s="417"/>
      <c r="I136" s="30">
        <v>77.622576126225766</v>
      </c>
      <c r="J136" s="183">
        <v>74.76354907210785</v>
      </c>
      <c r="K136" s="183">
        <v>73.349017185626565</v>
      </c>
      <c r="L136" s="183">
        <v>77.321400583871039</v>
      </c>
      <c r="M136" s="183">
        <v>76.501374663631879</v>
      </c>
      <c r="N136" s="183">
        <v>72.366312514134947</v>
      </c>
      <c r="O136" s="183">
        <v>71.756995424861344</v>
      </c>
      <c r="P136" s="183">
        <v>71.807169797468816</v>
      </c>
      <c r="Q136" s="183">
        <v>70.783284806655601</v>
      </c>
      <c r="R136" s="183">
        <v>67.120378726086599</v>
      </c>
      <c r="S136" s="183">
        <v>69.046965701870249</v>
      </c>
      <c r="T136" s="183">
        <v>62.580332903356059</v>
      </c>
      <c r="U136" s="51">
        <v>64.910355120439206</v>
      </c>
    </row>
    <row r="137" spans="1:22" x14ac:dyDescent="0.35">
      <c r="C137" s="480" t="s">
        <v>524</v>
      </c>
      <c r="G137" s="31"/>
      <c r="H137" s="417"/>
      <c r="I137" s="30">
        <v>0.38099977880999791</v>
      </c>
      <c r="J137" s="183">
        <v>0.75154648693564774</v>
      </c>
      <c r="K137" s="183">
        <v>0.84692802383461097</v>
      </c>
      <c r="L137" s="183">
        <v>1.1038012904665391</v>
      </c>
      <c r="M137" s="183">
        <v>1.363945223664164</v>
      </c>
      <c r="N137" s="183">
        <v>1.5844416451187331</v>
      </c>
      <c r="O137" s="183">
        <v>1.731743483881959</v>
      </c>
      <c r="P137" s="183">
        <v>1.907609872892964</v>
      </c>
      <c r="Q137" s="183">
        <v>2.2394312376653169</v>
      </c>
      <c r="R137" s="183">
        <v>2.532336316137036</v>
      </c>
      <c r="S137" s="183">
        <v>2.7224214177147341</v>
      </c>
      <c r="T137" s="183">
        <v>4.1559247945082562</v>
      </c>
      <c r="U137" s="51">
        <v>4.3487950128644073</v>
      </c>
    </row>
    <row r="138" spans="1:22" x14ac:dyDescent="0.35">
      <c r="C138" s="480" t="s">
        <v>526</v>
      </c>
      <c r="G138" s="31"/>
      <c r="H138" s="417"/>
      <c r="I138" s="30">
        <v>9.4934748949347494</v>
      </c>
      <c r="J138" s="183">
        <v>8.8820976825777862</v>
      </c>
      <c r="K138" s="183">
        <v>7.9159248628419858</v>
      </c>
      <c r="L138" s="183">
        <v>4.5680492392941492</v>
      </c>
      <c r="M138" s="183">
        <v>6.0584409853337986</v>
      </c>
      <c r="N138" s="183">
        <v>8.4831304604221636</v>
      </c>
      <c r="O138" s="183">
        <v>10.1337632641163</v>
      </c>
      <c r="P138" s="183">
        <v>7.0189256467666246</v>
      </c>
      <c r="Q138" s="183">
        <v>7.7756955509336114</v>
      </c>
      <c r="R138" s="183">
        <v>7.4714865460657984</v>
      </c>
      <c r="S138" s="183">
        <v>7.384162935163384</v>
      </c>
      <c r="T138" s="183">
        <v>11.028589064070349</v>
      </c>
      <c r="U138" s="51">
        <v>6.398400547800895</v>
      </c>
    </row>
    <row r="139" spans="1:22" x14ac:dyDescent="0.35">
      <c r="C139" s="481" t="s">
        <v>525</v>
      </c>
      <c r="D139" s="100"/>
      <c r="E139" s="100"/>
      <c r="F139" s="100"/>
      <c r="G139" s="33"/>
      <c r="H139" s="417"/>
      <c r="I139" s="416">
        <v>1.006967485069675</v>
      </c>
      <c r="J139" s="32">
        <v>1.065090942664574</v>
      </c>
      <c r="K139" s="32">
        <v>1.2791120154052971</v>
      </c>
      <c r="L139" s="32">
        <v>1.3191941666821621</v>
      </c>
      <c r="M139" s="32">
        <v>1.417792796857505</v>
      </c>
      <c r="N139" s="32">
        <v>1.624440008857897</v>
      </c>
      <c r="O139" s="32">
        <v>1.765001991330519</v>
      </c>
      <c r="P139" s="32">
        <v>1.731422448454079</v>
      </c>
      <c r="Q139" s="32">
        <v>1.7691737952582589</v>
      </c>
      <c r="R139" s="32">
        <v>1.9235131085407831</v>
      </c>
      <c r="S139" s="32">
        <v>1.907063088879956</v>
      </c>
      <c r="T139" s="32">
        <v>2.3660929455312281</v>
      </c>
      <c r="U139" s="368">
        <v>2.100495519539717</v>
      </c>
    </row>
    <row r="140" spans="1:22" x14ac:dyDescent="0.35">
      <c r="C140" s="417"/>
    </row>
    <row r="141" spans="1:22" ht="13.5" customHeight="1" x14ac:dyDescent="0.35">
      <c r="C141" t="s">
        <v>529</v>
      </c>
    </row>
    <row r="142" spans="1:22" x14ac:dyDescent="0.35">
      <c r="C142" t="s">
        <v>530</v>
      </c>
    </row>
    <row r="144" spans="1:22" x14ac:dyDescent="0.35">
      <c r="C144" s="553"/>
      <c r="D144" s="104"/>
      <c r="E144" s="104"/>
      <c r="F144" s="104"/>
      <c r="G144" s="104"/>
    </row>
    <row r="145" spans="3:21" x14ac:dyDescent="0.35">
      <c r="C145" s="553"/>
      <c r="D145" s="104"/>
      <c r="E145" s="104"/>
      <c r="F145" s="104"/>
      <c r="G145" s="104"/>
    </row>
    <row r="146" spans="3:21" x14ac:dyDescent="0.35">
      <c r="C146" s="563" t="s">
        <v>475</v>
      </c>
      <c r="D146" s="564"/>
      <c r="E146" s="564"/>
      <c r="F146" s="564"/>
      <c r="G146" s="565"/>
      <c r="I146" s="467">
        <v>2011</v>
      </c>
      <c r="J146" s="468">
        <v>2012</v>
      </c>
      <c r="K146" s="468">
        <v>2013</v>
      </c>
      <c r="L146" s="468">
        <v>2014</v>
      </c>
      <c r="M146" s="468">
        <v>2015</v>
      </c>
      <c r="N146" s="468">
        <v>2016</v>
      </c>
      <c r="O146" s="468">
        <v>2017</v>
      </c>
      <c r="P146" s="468">
        <v>2018</v>
      </c>
      <c r="Q146" s="468">
        <v>2019</v>
      </c>
      <c r="R146" s="468">
        <v>2020</v>
      </c>
      <c r="S146" s="468">
        <v>2021</v>
      </c>
      <c r="T146" s="468">
        <v>2022</v>
      </c>
      <c r="U146" s="469">
        <v>2023</v>
      </c>
    </row>
    <row r="147" spans="3:21" x14ac:dyDescent="0.35">
      <c r="C147" s="465" t="s">
        <v>476</v>
      </c>
      <c r="D147" s="104"/>
      <c r="E147" s="104"/>
      <c r="F147" s="104"/>
      <c r="G147" s="239"/>
      <c r="I147" s="563"/>
      <c r="J147" s="578"/>
      <c r="K147" s="578"/>
      <c r="L147" s="578"/>
      <c r="M147" s="578"/>
      <c r="N147" s="578"/>
      <c r="O147" s="578"/>
      <c r="P147" s="578"/>
      <c r="Q147" s="578"/>
      <c r="R147" s="578"/>
      <c r="S147" s="578"/>
      <c r="T147" s="578"/>
      <c r="U147" s="579"/>
    </row>
    <row r="148" spans="3:21" x14ac:dyDescent="0.35">
      <c r="C148" s="566" t="s">
        <v>479</v>
      </c>
      <c r="D148" s="104"/>
      <c r="E148" s="104"/>
      <c r="F148" s="104"/>
      <c r="G148" s="239"/>
      <c r="I148" s="580">
        <f>I38</f>
        <v>0</v>
      </c>
      <c r="J148" s="570">
        <f t="shared" ref="J148:U148" si="5">J38</f>
        <v>362157612.27888131</v>
      </c>
      <c r="K148" s="570">
        <f t="shared" si="5"/>
        <v>377799232.95823407</v>
      </c>
      <c r="L148" s="570">
        <f t="shared" si="5"/>
        <v>402311573.9359495</v>
      </c>
      <c r="M148" s="570">
        <f t="shared" si="5"/>
        <v>435529186.25542331</v>
      </c>
      <c r="N148" s="570">
        <f t="shared" si="5"/>
        <v>414217753.18389893</v>
      </c>
      <c r="O148" s="570">
        <f t="shared" si="5"/>
        <v>405015007.52810997</v>
      </c>
      <c r="P148" s="570">
        <f t="shared" si="5"/>
        <v>401366460.60793686</v>
      </c>
      <c r="Q148" s="570">
        <f t="shared" si="5"/>
        <v>378987035.61786133</v>
      </c>
      <c r="R148" s="570">
        <f t="shared" si="5"/>
        <v>389950766.00722522</v>
      </c>
      <c r="S148" s="570">
        <f t="shared" si="5"/>
        <v>381287341.78359973</v>
      </c>
      <c r="T148" s="570">
        <f t="shared" si="5"/>
        <v>413749851.23992187</v>
      </c>
      <c r="U148" s="571">
        <f t="shared" si="5"/>
        <v>438007432.63606697</v>
      </c>
    </row>
    <row r="149" spans="3:21" x14ac:dyDescent="0.35">
      <c r="C149" s="465" t="s">
        <v>484</v>
      </c>
      <c r="D149" s="104"/>
      <c r="E149" s="104"/>
      <c r="F149" s="104"/>
      <c r="G149" s="239"/>
      <c r="I149" s="465"/>
      <c r="J149" s="553"/>
      <c r="K149" s="553"/>
      <c r="L149" s="553"/>
      <c r="M149" s="553"/>
      <c r="N149" s="553"/>
      <c r="O149" s="553"/>
      <c r="P149" s="553"/>
      <c r="Q149" s="572"/>
      <c r="R149" s="572"/>
      <c r="S149" s="572"/>
      <c r="T149" s="572"/>
      <c r="U149" s="573"/>
    </row>
    <row r="150" spans="3:21" x14ac:dyDescent="0.35">
      <c r="C150" s="566" t="s">
        <v>479</v>
      </c>
      <c r="D150" s="104"/>
      <c r="E150" s="104"/>
      <c r="F150" s="104"/>
      <c r="G150" s="239"/>
      <c r="I150" s="581">
        <f>I47</f>
        <v>0</v>
      </c>
      <c r="J150" s="574">
        <f t="shared" ref="J150:U150" si="6">J47</f>
        <v>48423335.210000001</v>
      </c>
      <c r="K150" s="574">
        <f t="shared" si="6"/>
        <v>52643210.720000006</v>
      </c>
      <c r="L150" s="574">
        <f t="shared" si="6"/>
        <v>63819412.750000022</v>
      </c>
      <c r="M150" s="574">
        <f t="shared" si="6"/>
        <v>73741500.519999996</v>
      </c>
      <c r="N150" s="574">
        <f>N47</f>
        <v>82948193.309999987</v>
      </c>
      <c r="O150" s="574">
        <f t="shared" si="6"/>
        <v>97316885.079999968</v>
      </c>
      <c r="P150" s="574">
        <f t="shared" si="6"/>
        <v>98971743.539999977</v>
      </c>
      <c r="Q150" s="574">
        <f t="shared" si="6"/>
        <v>106112430.44000004</v>
      </c>
      <c r="R150" s="574">
        <f t="shared" si="6"/>
        <v>106818871.34999999</v>
      </c>
      <c r="S150" s="574">
        <f t="shared" si="6"/>
        <v>104166672.09</v>
      </c>
      <c r="T150" s="574">
        <f t="shared" si="6"/>
        <v>127269163.08000001</v>
      </c>
      <c r="U150" s="575">
        <f t="shared" si="6"/>
        <v>130810741.59999999</v>
      </c>
    </row>
    <row r="151" spans="3:21" x14ac:dyDescent="0.35">
      <c r="C151" s="465" t="s">
        <v>485</v>
      </c>
      <c r="D151" s="104"/>
      <c r="E151" s="104"/>
      <c r="F151" s="104"/>
      <c r="G151" s="239"/>
      <c r="I151" s="237"/>
      <c r="J151" s="104"/>
      <c r="K151" s="104"/>
      <c r="L151" s="104"/>
      <c r="M151" s="104"/>
      <c r="N151" s="104"/>
      <c r="O151" s="104"/>
      <c r="P151" s="553"/>
      <c r="Q151" s="572"/>
      <c r="R151" s="572"/>
      <c r="S151" s="572"/>
      <c r="T151" s="572"/>
      <c r="U151" s="573"/>
    </row>
    <row r="152" spans="3:21" x14ac:dyDescent="0.35">
      <c r="C152" s="566" t="s">
        <v>479</v>
      </c>
      <c r="D152" s="104"/>
      <c r="E152" s="104"/>
      <c r="F152" s="104"/>
      <c r="G152" s="239"/>
      <c r="I152" s="581">
        <f>I56</f>
        <v>0</v>
      </c>
      <c r="J152" s="574">
        <f t="shared" ref="J152:U152" si="7">J56</f>
        <v>11275209.83</v>
      </c>
      <c r="K152" s="574">
        <f t="shared" si="7"/>
        <v>13540123.929999998</v>
      </c>
      <c r="L152" s="574">
        <f t="shared" si="7"/>
        <v>17792304.59</v>
      </c>
      <c r="M152" s="574">
        <f t="shared" si="7"/>
        <v>19380099.349999998</v>
      </c>
      <c r="N152" s="574">
        <f t="shared" si="7"/>
        <v>22058054.73</v>
      </c>
      <c r="O152" s="574">
        <f t="shared" si="7"/>
        <v>21406548.91</v>
      </c>
      <c r="P152" s="574">
        <f t="shared" si="7"/>
        <v>23467720.690000001</v>
      </c>
      <c r="Q152" s="574">
        <f t="shared" si="7"/>
        <v>22784707.850000001</v>
      </c>
      <c r="R152" s="574">
        <f t="shared" si="7"/>
        <v>20251375.41</v>
      </c>
      <c r="S152" s="574">
        <f t="shared" si="7"/>
        <v>20346587.300000001</v>
      </c>
      <c r="T152" s="574">
        <f t="shared" si="7"/>
        <v>22693889.170000002</v>
      </c>
      <c r="U152" s="575">
        <f t="shared" si="7"/>
        <v>21767432.010000002</v>
      </c>
    </row>
    <row r="153" spans="3:21" x14ac:dyDescent="0.35">
      <c r="C153" s="465" t="s">
        <v>486</v>
      </c>
      <c r="D153" s="104"/>
      <c r="E153" s="104"/>
      <c r="F153" s="104"/>
      <c r="G153" s="239"/>
      <c r="I153" s="237"/>
      <c r="J153" s="104"/>
      <c r="K153" s="104"/>
      <c r="L153" s="104"/>
      <c r="M153" s="104"/>
      <c r="N153" s="104"/>
      <c r="O153" s="104"/>
      <c r="P153" s="553"/>
      <c r="Q153" s="572"/>
      <c r="R153" s="572"/>
      <c r="S153" s="572"/>
      <c r="T153" s="572"/>
      <c r="U153" s="573"/>
    </row>
    <row r="154" spans="3:21" x14ac:dyDescent="0.35">
      <c r="C154" s="566" t="s">
        <v>479</v>
      </c>
      <c r="D154" s="104"/>
      <c r="E154" s="104"/>
      <c r="F154" s="104"/>
      <c r="G154" s="239"/>
      <c r="I154" s="237">
        <f>I65</f>
        <v>0</v>
      </c>
      <c r="J154" s="104">
        <f t="shared" ref="J154:U154" si="8">J65</f>
        <v>0</v>
      </c>
      <c r="K154" s="104">
        <f t="shared" si="8"/>
        <v>0</v>
      </c>
      <c r="L154" s="104">
        <f t="shared" si="8"/>
        <v>0</v>
      </c>
      <c r="M154" s="104">
        <f t="shared" si="8"/>
        <v>0</v>
      </c>
      <c r="N154" s="104">
        <f t="shared" si="8"/>
        <v>0</v>
      </c>
      <c r="O154" s="104">
        <f t="shared" si="8"/>
        <v>0</v>
      </c>
      <c r="P154" s="104">
        <f t="shared" si="8"/>
        <v>0</v>
      </c>
      <c r="Q154" s="104">
        <f t="shared" si="8"/>
        <v>0</v>
      </c>
      <c r="R154" s="104">
        <f t="shared" si="8"/>
        <v>0</v>
      </c>
      <c r="S154" s="104">
        <f t="shared" si="8"/>
        <v>0</v>
      </c>
      <c r="T154" s="104">
        <f t="shared" si="8"/>
        <v>0</v>
      </c>
      <c r="U154" s="239">
        <f t="shared" si="8"/>
        <v>0</v>
      </c>
    </row>
    <row r="155" spans="3:21" x14ac:dyDescent="0.35">
      <c r="C155" s="465" t="s">
        <v>487</v>
      </c>
      <c r="D155" s="104"/>
      <c r="E155" s="104"/>
      <c r="F155" s="104"/>
      <c r="G155" s="239"/>
      <c r="I155" s="237"/>
      <c r="J155" s="104"/>
      <c r="K155" s="104"/>
      <c r="L155" s="104"/>
      <c r="M155" s="104"/>
      <c r="N155" s="104"/>
      <c r="O155" s="104"/>
      <c r="P155" s="553"/>
      <c r="Q155" s="572"/>
      <c r="R155" s="572"/>
      <c r="S155" s="572"/>
      <c r="T155" s="572"/>
      <c r="U155" s="573"/>
    </row>
    <row r="156" spans="3:21" x14ac:dyDescent="0.35">
      <c r="C156" s="583" t="s">
        <v>479</v>
      </c>
      <c r="D156" s="104"/>
      <c r="E156" s="104"/>
      <c r="F156" s="104"/>
      <c r="G156" s="239"/>
      <c r="I156" s="237">
        <f>I74</f>
        <v>0</v>
      </c>
      <c r="J156" s="104">
        <f t="shared" ref="J156:U156" si="9">J74</f>
        <v>0</v>
      </c>
      <c r="K156" s="104">
        <f t="shared" si="9"/>
        <v>0</v>
      </c>
      <c r="L156" s="104">
        <f t="shared" si="9"/>
        <v>0</v>
      </c>
      <c r="M156" s="104">
        <f t="shared" si="9"/>
        <v>0</v>
      </c>
      <c r="N156" s="104">
        <f t="shared" si="9"/>
        <v>0</v>
      </c>
      <c r="O156" s="104">
        <f t="shared" si="9"/>
        <v>0</v>
      </c>
      <c r="P156" s="104">
        <f t="shared" si="9"/>
        <v>0</v>
      </c>
      <c r="Q156" s="104">
        <f t="shared" si="9"/>
        <v>0</v>
      </c>
      <c r="R156" s="104">
        <f t="shared" si="9"/>
        <v>0</v>
      </c>
      <c r="S156" s="104">
        <f t="shared" si="9"/>
        <v>0</v>
      </c>
      <c r="T156" s="104">
        <f t="shared" si="9"/>
        <v>0</v>
      </c>
      <c r="U156" s="239">
        <f t="shared" si="9"/>
        <v>0</v>
      </c>
    </row>
    <row r="157" spans="3:21" x14ac:dyDescent="0.35">
      <c r="C157" s="520" t="s">
        <v>531</v>
      </c>
      <c r="D157" s="567"/>
      <c r="E157" s="567"/>
      <c r="F157" s="567"/>
      <c r="G157" s="568"/>
      <c r="I157" s="582">
        <f t="shared" ref="I157:P157" si="10">(I148+I150+I152)*I138%</f>
        <v>0</v>
      </c>
      <c r="J157" s="576">
        <f t="shared" si="10"/>
        <v>37469675.97303205</v>
      </c>
      <c r="K157" s="576">
        <f t="shared" si="10"/>
        <v>35145326.455984436</v>
      </c>
      <c r="L157" s="576">
        <f t="shared" si="10"/>
        <v>22105854.225898221</v>
      </c>
      <c r="M157" s="576">
        <f t="shared" si="10"/>
        <v>32027995.895911969</v>
      </c>
      <c r="N157" s="576">
        <f t="shared" si="10"/>
        <v>44046449.405647323</v>
      </c>
      <c r="O157" s="576">
        <f t="shared" si="10"/>
        <v>53074413.786617465</v>
      </c>
      <c r="P157" s="576">
        <f t="shared" si="10"/>
        <v>36765548.397733055</v>
      </c>
      <c r="Q157" s="576">
        <f>(Q148+Q150+Q152)*Q138%</f>
        <v>39491527.114449508</v>
      </c>
      <c r="R157" s="576">
        <f t="shared" ref="R157:U157" si="11">(R148+R150+R152)*R138%</f>
        <v>38629155.409236372</v>
      </c>
      <c r="S157" s="576">
        <f t="shared" si="11"/>
        <v>37349140.517694525</v>
      </c>
      <c r="T157" s="576">
        <f t="shared" si="11"/>
        <v>62169579.627042957</v>
      </c>
      <c r="U157" s="577">
        <f t="shared" si="11"/>
        <v>37788032.665281579</v>
      </c>
    </row>
    <row r="160" spans="3:21" x14ac:dyDescent="0.35">
      <c r="C160" s="261" t="s">
        <v>532</v>
      </c>
    </row>
    <row r="162" spans="1:22" ht="17.149999999999999" customHeight="1" x14ac:dyDescent="0.35">
      <c r="C162" s="483" t="s">
        <v>533</v>
      </c>
      <c r="I162" s="418">
        <v>2011</v>
      </c>
      <c r="J162" s="419">
        <v>2012</v>
      </c>
      <c r="K162" s="419">
        <v>2013</v>
      </c>
      <c r="L162" s="419">
        <v>2014</v>
      </c>
      <c r="M162" s="419">
        <v>2015</v>
      </c>
      <c r="N162" s="419">
        <v>2016</v>
      </c>
      <c r="O162" s="419">
        <v>2017</v>
      </c>
      <c r="P162" s="419">
        <v>2018</v>
      </c>
      <c r="Q162" s="419">
        <v>2019</v>
      </c>
      <c r="R162" s="419">
        <v>2020</v>
      </c>
      <c r="S162" s="419">
        <v>2021</v>
      </c>
      <c r="T162" s="419">
        <v>2022</v>
      </c>
      <c r="U162" s="420">
        <v>2023</v>
      </c>
      <c r="V162" s="560"/>
    </row>
    <row r="163" spans="1:22" ht="17.149999999999999" customHeight="1" x14ac:dyDescent="0.35">
      <c r="A163" s="144" t="s">
        <v>534</v>
      </c>
      <c r="C163" s="421" t="s">
        <v>535</v>
      </c>
      <c r="D163" s="73"/>
      <c r="E163" s="73"/>
      <c r="F163" s="73"/>
      <c r="G163" s="29"/>
      <c r="I163" s="421">
        <v>6.5</v>
      </c>
      <c r="J163" s="411">
        <v>5.8</v>
      </c>
      <c r="K163" s="411">
        <v>3.7</v>
      </c>
      <c r="L163" s="411">
        <v>0.2</v>
      </c>
      <c r="M163" s="411">
        <v>0.2</v>
      </c>
      <c r="N163" s="411">
        <v>0.2</v>
      </c>
      <c r="O163" s="411">
        <v>0.2</v>
      </c>
      <c r="P163" s="411">
        <v>0.1</v>
      </c>
      <c r="Q163" s="411">
        <v>0.2</v>
      </c>
      <c r="R163" s="411">
        <v>0.2</v>
      </c>
      <c r="S163" s="411">
        <v>0.3</v>
      </c>
      <c r="T163" s="411">
        <v>0.2</v>
      </c>
      <c r="U163" s="422">
        <v>0.2</v>
      </c>
    </row>
    <row r="164" spans="1:22" ht="17.149999999999999" customHeight="1" x14ac:dyDescent="0.35">
      <c r="C164" s="423" t="s">
        <v>536</v>
      </c>
      <c r="D164" s="100"/>
      <c r="E164" s="100"/>
      <c r="F164" s="100"/>
      <c r="G164" s="33"/>
      <c r="I164" s="423"/>
      <c r="J164" s="410">
        <v>0</v>
      </c>
      <c r="K164" s="410">
        <v>0</v>
      </c>
      <c r="L164" s="410">
        <v>0</v>
      </c>
      <c r="M164" s="410">
        <v>0.1</v>
      </c>
      <c r="N164" s="410">
        <v>0.2</v>
      </c>
      <c r="O164" s="410">
        <v>0.4</v>
      </c>
      <c r="P164" s="410">
        <v>0.7</v>
      </c>
      <c r="Q164" s="410">
        <v>1.2</v>
      </c>
      <c r="R164" s="410">
        <v>2.2000000000000002</v>
      </c>
      <c r="S164" s="410">
        <v>4.3</v>
      </c>
      <c r="T164" s="410">
        <v>7</v>
      </c>
      <c r="U164" s="424">
        <v>9.1</v>
      </c>
    </row>
    <row r="165" spans="1:22" ht="17.149999999999999" customHeight="1" x14ac:dyDescent="0.35"/>
    <row r="166" spans="1:22" ht="17.149999999999999" customHeight="1" x14ac:dyDescent="0.35">
      <c r="I166" s="418">
        <v>2011</v>
      </c>
      <c r="J166" s="419">
        <v>2012</v>
      </c>
      <c r="K166" s="419">
        <v>2013</v>
      </c>
      <c r="L166" s="419">
        <v>2014</v>
      </c>
      <c r="M166" s="419">
        <v>2015</v>
      </c>
      <c r="N166" s="419">
        <v>2016</v>
      </c>
      <c r="O166" s="419">
        <v>2017</v>
      </c>
      <c r="P166" s="419">
        <v>2018</v>
      </c>
      <c r="Q166" s="419">
        <v>2019</v>
      </c>
      <c r="R166" s="419">
        <v>2020</v>
      </c>
      <c r="S166" s="419">
        <v>2021</v>
      </c>
      <c r="T166" s="419">
        <v>2022</v>
      </c>
      <c r="U166" s="420">
        <v>2023</v>
      </c>
      <c r="V166" s="560"/>
    </row>
    <row r="167" spans="1:22" ht="17.149999999999999" customHeight="1" x14ac:dyDescent="0.35">
      <c r="A167" s="144" t="s">
        <v>534</v>
      </c>
      <c r="C167" s="484" t="s">
        <v>537</v>
      </c>
      <c r="D167" s="73"/>
      <c r="E167" s="73"/>
      <c r="F167" s="73"/>
      <c r="G167" s="29"/>
      <c r="I167" s="425">
        <v>519</v>
      </c>
      <c r="J167" s="426">
        <v>495</v>
      </c>
      <c r="K167" s="426">
        <v>477</v>
      </c>
      <c r="L167" s="426">
        <v>462</v>
      </c>
      <c r="M167" s="426">
        <v>470</v>
      </c>
      <c r="N167" s="426">
        <v>489</v>
      </c>
      <c r="O167" s="426">
        <v>501</v>
      </c>
      <c r="P167" s="426">
        <v>489</v>
      </c>
      <c r="Q167" s="426">
        <v>496</v>
      </c>
      <c r="R167" s="426">
        <v>486</v>
      </c>
      <c r="S167" s="426">
        <v>470</v>
      </c>
      <c r="T167" s="426">
        <v>471</v>
      </c>
      <c r="U167" s="427">
        <v>417</v>
      </c>
    </row>
    <row r="168" spans="1:22" ht="17.149999999999999" customHeight="1" x14ac:dyDescent="0.35">
      <c r="C168" s="99" t="s">
        <v>538</v>
      </c>
      <c r="D168" s="100"/>
      <c r="E168" s="100"/>
      <c r="F168" s="100"/>
      <c r="G168" s="33"/>
      <c r="I168" s="141">
        <f>(I167-I164)/I167</f>
        <v>1</v>
      </c>
      <c r="J168" s="142">
        <f>(J167-J164)/J167</f>
        <v>1</v>
      </c>
      <c r="K168" s="142">
        <f>(K167-K164)/K167</f>
        <v>1</v>
      </c>
      <c r="L168" s="142">
        <f t="shared" ref="L168:U168" si="12">(L167-L164)/L167</f>
        <v>1</v>
      </c>
      <c r="M168" s="142">
        <f t="shared" si="12"/>
        <v>0.9997872340425531</v>
      </c>
      <c r="N168" s="142">
        <f t="shared" si="12"/>
        <v>0.99959100204498985</v>
      </c>
      <c r="O168" s="142">
        <f t="shared" si="12"/>
        <v>0.99920159680638732</v>
      </c>
      <c r="P168" s="142">
        <f t="shared" si="12"/>
        <v>0.99856850715746426</v>
      </c>
      <c r="Q168" s="142">
        <f t="shared" si="12"/>
        <v>0.9975806451612903</v>
      </c>
      <c r="R168" s="142">
        <f>(R167-R164)/R167</f>
        <v>0.99547325102880657</v>
      </c>
      <c r="S168" s="142">
        <f t="shared" si="12"/>
        <v>0.99085106382978716</v>
      </c>
      <c r="T168" s="142">
        <f t="shared" si="12"/>
        <v>0.9851380042462845</v>
      </c>
      <c r="U168" s="143">
        <f t="shared" si="12"/>
        <v>0.97817745803357303</v>
      </c>
    </row>
    <row r="170" spans="1:22" x14ac:dyDescent="0.35">
      <c r="A170" s="144" t="s">
        <v>539</v>
      </c>
      <c r="C170" s="15" t="s">
        <v>540</v>
      </c>
    </row>
    <row r="171" spans="1:22" x14ac:dyDescent="0.35">
      <c r="C171" s="65" t="s">
        <v>541</v>
      </c>
      <c r="D171" s="64" t="s">
        <v>542</v>
      </c>
    </row>
    <row r="172" spans="1:22" x14ac:dyDescent="0.35">
      <c r="C172" s="72" t="s">
        <v>106</v>
      </c>
      <c r="D172" s="496">
        <v>0.78</v>
      </c>
    </row>
    <row r="173" spans="1:22" x14ac:dyDescent="0.35">
      <c r="C173" s="74" t="s">
        <v>543</v>
      </c>
      <c r="D173" s="497">
        <v>0.12</v>
      </c>
    </row>
    <row r="174" spans="1:22" x14ac:dyDescent="0.35">
      <c r="C174" s="74" t="s">
        <v>232</v>
      </c>
      <c r="D174" s="497">
        <v>7.0000000000000007E-2</v>
      </c>
    </row>
    <row r="175" spans="1:22" x14ac:dyDescent="0.35">
      <c r="C175" s="99" t="s">
        <v>544</v>
      </c>
      <c r="D175" s="498">
        <v>0.03</v>
      </c>
    </row>
    <row r="176" spans="1:22" x14ac:dyDescent="0.35">
      <c r="D176" s="379"/>
    </row>
    <row r="177" spans="1:5" x14ac:dyDescent="0.35">
      <c r="A177" s="144" t="s">
        <v>539</v>
      </c>
      <c r="C177" s="15" t="s">
        <v>545</v>
      </c>
      <c r="D177" s="379"/>
    </row>
    <row r="178" spans="1:5" x14ac:dyDescent="0.35">
      <c r="C178" s="485">
        <v>2017</v>
      </c>
      <c r="D178" s="486" t="s">
        <v>546</v>
      </c>
      <c r="E178" s="64" t="s">
        <v>547</v>
      </c>
    </row>
    <row r="179" spans="1:5" x14ac:dyDescent="0.35">
      <c r="C179" s="74" t="s">
        <v>548</v>
      </c>
      <c r="D179" s="492">
        <v>0.39</v>
      </c>
      <c r="E179" s="453">
        <v>60</v>
      </c>
    </row>
    <row r="180" spans="1:5" x14ac:dyDescent="0.35">
      <c r="C180" s="74" t="s">
        <v>549</v>
      </c>
      <c r="D180" s="492">
        <v>0.39</v>
      </c>
      <c r="E180" s="453">
        <v>20</v>
      </c>
    </row>
    <row r="181" spans="1:5" x14ac:dyDescent="0.35">
      <c r="C181" s="74" t="s">
        <v>550</v>
      </c>
      <c r="D181" s="492">
        <v>0.05</v>
      </c>
      <c r="E181" s="453">
        <v>8</v>
      </c>
    </row>
    <row r="182" spans="1:5" x14ac:dyDescent="0.35">
      <c r="C182" s="74" t="s">
        <v>551</v>
      </c>
      <c r="D182" s="492">
        <v>0.06</v>
      </c>
      <c r="E182" s="453">
        <v>4</v>
      </c>
    </row>
    <row r="183" spans="1:5" x14ac:dyDescent="0.35">
      <c r="C183" s="74" t="s">
        <v>552</v>
      </c>
      <c r="D183" s="492">
        <v>0.06</v>
      </c>
      <c r="E183" s="453">
        <v>5</v>
      </c>
    </row>
    <row r="184" spans="1:5" x14ac:dyDescent="0.35">
      <c r="C184" s="99" t="s">
        <v>553</v>
      </c>
      <c r="D184" s="494">
        <v>0.04</v>
      </c>
      <c r="E184" s="457">
        <v>1</v>
      </c>
    </row>
    <row r="185" spans="1:5" x14ac:dyDescent="0.35">
      <c r="D185" s="379"/>
    </row>
    <row r="186" spans="1:5" x14ac:dyDescent="0.35">
      <c r="A186" s="144" t="s">
        <v>539</v>
      </c>
      <c r="C186" s="15" t="s">
        <v>554</v>
      </c>
      <c r="D186" s="379"/>
    </row>
    <row r="187" spans="1:5" x14ac:dyDescent="0.35">
      <c r="C187" s="485">
        <v>2017</v>
      </c>
      <c r="D187" s="487" t="s">
        <v>546</v>
      </c>
      <c r="E187" s="488" t="s">
        <v>547</v>
      </c>
    </row>
    <row r="188" spans="1:5" x14ac:dyDescent="0.35">
      <c r="C188" s="72" t="s">
        <v>555</v>
      </c>
      <c r="D188" s="490">
        <v>0.31</v>
      </c>
      <c r="E188" s="491">
        <v>0.28999999999999998</v>
      </c>
    </row>
    <row r="189" spans="1:5" x14ac:dyDescent="0.35">
      <c r="C189" s="74" t="s">
        <v>556</v>
      </c>
      <c r="D189" s="492">
        <v>7.0000000000000007E-2</v>
      </c>
      <c r="E189" s="493">
        <v>0.05</v>
      </c>
    </row>
    <row r="190" spans="1:5" x14ac:dyDescent="0.35">
      <c r="C190" s="74" t="s">
        <v>557</v>
      </c>
      <c r="D190" s="492">
        <v>0.17</v>
      </c>
      <c r="E190" s="493">
        <v>0.17</v>
      </c>
    </row>
    <row r="191" spans="1:5" x14ac:dyDescent="0.35">
      <c r="C191" s="74" t="s">
        <v>558</v>
      </c>
      <c r="D191" s="492">
        <v>0.15</v>
      </c>
      <c r="E191" s="493">
        <v>0.16</v>
      </c>
    </row>
    <row r="192" spans="1:5" x14ac:dyDescent="0.35">
      <c r="C192" s="74" t="s">
        <v>559</v>
      </c>
      <c r="D192" s="492">
        <v>0.12</v>
      </c>
      <c r="E192" s="493">
        <v>0.12</v>
      </c>
    </row>
    <row r="193" spans="1:23" x14ac:dyDescent="0.35">
      <c r="C193" s="99" t="s">
        <v>560</v>
      </c>
      <c r="D193" s="494">
        <v>0.19</v>
      </c>
      <c r="E193" s="495">
        <v>0.21</v>
      </c>
    </row>
    <row r="194" spans="1:23" x14ac:dyDescent="0.35">
      <c r="D194" s="379"/>
    </row>
    <row r="195" spans="1:23" x14ac:dyDescent="0.35">
      <c r="A195" s="144" t="s">
        <v>539</v>
      </c>
      <c r="C195" s="15" t="s">
        <v>561</v>
      </c>
      <c r="D195" s="379"/>
      <c r="H195" s="15" t="s">
        <v>562</v>
      </c>
      <c r="P195" s="15"/>
      <c r="Q195" s="379"/>
    </row>
    <row r="196" spans="1:23" x14ac:dyDescent="0.35">
      <c r="C196" s="485">
        <v>2017</v>
      </c>
      <c r="D196" s="489" t="s">
        <v>464</v>
      </c>
      <c r="H196" s="65" t="s">
        <v>563</v>
      </c>
      <c r="I196" s="45">
        <v>2011</v>
      </c>
      <c r="J196" s="45">
        <v>2012</v>
      </c>
      <c r="K196" s="45">
        <v>2013</v>
      </c>
      <c r="L196" s="45">
        <v>2014</v>
      </c>
      <c r="M196" s="45">
        <v>2015</v>
      </c>
      <c r="N196" s="45">
        <v>2016</v>
      </c>
      <c r="O196" s="45">
        <v>2017</v>
      </c>
      <c r="P196" s="45">
        <v>2018</v>
      </c>
      <c r="Q196" s="45">
        <v>2019</v>
      </c>
      <c r="R196" s="45">
        <v>2020</v>
      </c>
      <c r="S196" s="45">
        <v>2021</v>
      </c>
      <c r="T196" s="45">
        <v>2022</v>
      </c>
      <c r="U196" s="46">
        <v>2023</v>
      </c>
      <c r="V196" s="178"/>
    </row>
    <row r="197" spans="1:23" x14ac:dyDescent="0.35">
      <c r="C197" s="72" t="s">
        <v>564</v>
      </c>
      <c r="D197" s="496">
        <v>0.56999999999999995</v>
      </c>
      <c r="H197" s="74" t="s">
        <v>564</v>
      </c>
      <c r="I197" s="432">
        <f>I138*0.01</f>
        <v>9.4934748949347503E-2</v>
      </c>
      <c r="J197" s="395">
        <f t="shared" ref="J197:U197" si="13">J138*0.01</f>
        <v>8.8820976825777859E-2</v>
      </c>
      <c r="K197" s="395">
        <f t="shared" si="13"/>
        <v>7.9159248628419859E-2</v>
      </c>
      <c r="L197" s="395">
        <f t="shared" si="13"/>
        <v>4.5680492392941495E-2</v>
      </c>
      <c r="M197" s="395">
        <f t="shared" si="13"/>
        <v>6.0584409853337989E-2</v>
      </c>
      <c r="N197" s="395">
        <f t="shared" si="13"/>
        <v>8.4831304604221641E-2</v>
      </c>
      <c r="O197" s="395">
        <f t="shared" si="13"/>
        <v>0.10133763264116301</v>
      </c>
      <c r="P197" s="395">
        <f t="shared" si="13"/>
        <v>7.0189256467666244E-2</v>
      </c>
      <c r="Q197" s="395">
        <f t="shared" si="13"/>
        <v>7.7756955509336118E-2</v>
      </c>
      <c r="R197" s="395">
        <f t="shared" si="13"/>
        <v>7.4714865460657989E-2</v>
      </c>
      <c r="S197" s="395">
        <f t="shared" si="13"/>
        <v>7.3841629351633839E-2</v>
      </c>
      <c r="T197" s="395">
        <f t="shared" si="13"/>
        <v>0.11028589064070349</v>
      </c>
      <c r="U197" s="351">
        <f t="shared" si="13"/>
        <v>6.3984005478008948E-2</v>
      </c>
    </row>
    <row r="198" spans="1:23" x14ac:dyDescent="0.35">
      <c r="C198" s="74" t="s">
        <v>228</v>
      </c>
      <c r="D198" s="497">
        <v>0.28000000000000003</v>
      </c>
      <c r="H198" s="74" t="s">
        <v>228</v>
      </c>
      <c r="I198" s="435">
        <f>I168</f>
        <v>1</v>
      </c>
      <c r="J198" s="379">
        <f t="shared" ref="J198:P198" si="14">J168</f>
        <v>1</v>
      </c>
      <c r="K198" s="379">
        <f t="shared" si="14"/>
        <v>1</v>
      </c>
      <c r="L198" s="379">
        <f t="shared" si="14"/>
        <v>1</v>
      </c>
      <c r="M198" s="379">
        <f t="shared" si="14"/>
        <v>0.9997872340425531</v>
      </c>
      <c r="N198" s="379">
        <f t="shared" si="14"/>
        <v>0.99959100204498985</v>
      </c>
      <c r="O198" s="379">
        <f t="shared" si="14"/>
        <v>0.99920159680638732</v>
      </c>
      <c r="P198" s="379">
        <f t="shared" si="14"/>
        <v>0.99856850715746426</v>
      </c>
      <c r="Q198" s="379">
        <f>Q168</f>
        <v>0.9975806451612903</v>
      </c>
      <c r="R198" s="378">
        <f>R168</f>
        <v>0.99547325102880657</v>
      </c>
      <c r="S198" s="379">
        <f t="shared" ref="S198:U198" si="15">S168</f>
        <v>0.99085106382978716</v>
      </c>
      <c r="T198" s="379">
        <f t="shared" si="15"/>
        <v>0.9851380042462845</v>
      </c>
      <c r="U198" s="392">
        <f t="shared" si="15"/>
        <v>0.97817745803357303</v>
      </c>
    </row>
    <row r="199" spans="1:23" x14ac:dyDescent="0.35">
      <c r="C199" s="74" t="s">
        <v>565</v>
      </c>
      <c r="D199" s="497">
        <v>0.06</v>
      </c>
      <c r="H199" s="74" t="s">
        <v>566</v>
      </c>
      <c r="I199" s="435">
        <v>1</v>
      </c>
      <c r="J199" s="379">
        <v>1</v>
      </c>
      <c r="K199" s="379">
        <v>1</v>
      </c>
      <c r="L199" s="379">
        <v>1</v>
      </c>
      <c r="M199" s="379">
        <v>1</v>
      </c>
      <c r="N199" s="379">
        <v>1</v>
      </c>
      <c r="O199" s="379">
        <v>1</v>
      </c>
      <c r="P199" s="379">
        <v>1</v>
      </c>
      <c r="Q199" s="379">
        <v>1</v>
      </c>
      <c r="R199" s="379">
        <v>1</v>
      </c>
      <c r="S199" s="379">
        <v>1</v>
      </c>
      <c r="T199" s="379">
        <v>1</v>
      </c>
      <c r="U199" s="392">
        <v>1</v>
      </c>
    </row>
    <row r="200" spans="1:23" x14ac:dyDescent="0.35">
      <c r="C200" s="74" t="s">
        <v>567</v>
      </c>
      <c r="D200" s="497">
        <v>7.0000000000000007E-2</v>
      </c>
      <c r="H200" s="74" t="s">
        <v>567</v>
      </c>
      <c r="I200" s="435">
        <f t="shared" ref="I200:P200" si="16">1-I113</f>
        <v>0.67972226449654594</v>
      </c>
      <c r="J200" s="379">
        <f t="shared" si="16"/>
        <v>0.66271478712981002</v>
      </c>
      <c r="K200" s="379">
        <f t="shared" si="16"/>
        <v>0.65616612313934641</v>
      </c>
      <c r="L200" s="379">
        <f t="shared" si="16"/>
        <v>0.52980059212512365</v>
      </c>
      <c r="M200" s="379">
        <f t="shared" si="16"/>
        <v>0.51416190945039997</v>
      </c>
      <c r="N200" s="379">
        <f t="shared" si="16"/>
        <v>0.48051819702667831</v>
      </c>
      <c r="O200" s="379">
        <f t="shared" si="16"/>
        <v>0.44830359298519074</v>
      </c>
      <c r="P200" s="379">
        <f t="shared" si="16"/>
        <v>0.44808950101499367</v>
      </c>
      <c r="Q200" s="379">
        <f>1-Q113</f>
        <v>0.42340925215613234</v>
      </c>
      <c r="R200" s="379">
        <f t="shared" ref="R200:U200" si="17">1-R113</f>
        <v>0.41912545180817407</v>
      </c>
      <c r="S200" s="379">
        <f t="shared" si="17"/>
        <v>0.40983446993182082</v>
      </c>
      <c r="T200" s="379">
        <f t="shared" si="17"/>
        <v>0.3633637494734997</v>
      </c>
      <c r="U200" s="392">
        <f t="shared" si="17"/>
        <v>0.374102154768722</v>
      </c>
    </row>
    <row r="201" spans="1:23" x14ac:dyDescent="0.35">
      <c r="C201" s="74" t="s">
        <v>568</v>
      </c>
      <c r="D201" s="497">
        <v>0.02</v>
      </c>
      <c r="H201" s="74" t="s">
        <v>568</v>
      </c>
      <c r="I201" s="435">
        <v>1</v>
      </c>
      <c r="J201" s="379">
        <v>1</v>
      </c>
      <c r="K201" s="379">
        <v>1</v>
      </c>
      <c r="L201" s="379">
        <v>1</v>
      </c>
      <c r="M201" s="379">
        <v>1</v>
      </c>
      <c r="N201" s="379">
        <v>1</v>
      </c>
      <c r="O201" s="379">
        <v>1</v>
      </c>
      <c r="P201" s="379">
        <v>1</v>
      </c>
      <c r="Q201" s="379">
        <v>1</v>
      </c>
      <c r="R201" s="379">
        <v>1</v>
      </c>
      <c r="S201" s="379">
        <v>1</v>
      </c>
      <c r="T201" s="379">
        <v>1</v>
      </c>
      <c r="U201" s="392">
        <v>1</v>
      </c>
    </row>
    <row r="202" spans="1:23" x14ac:dyDescent="0.35">
      <c r="C202" s="99" t="s">
        <v>553</v>
      </c>
      <c r="D202" s="498">
        <v>0.01</v>
      </c>
      <c r="H202" s="99" t="s">
        <v>553</v>
      </c>
      <c r="I202" s="433">
        <v>0</v>
      </c>
      <c r="J202" s="393">
        <v>0</v>
      </c>
      <c r="K202" s="393">
        <v>0</v>
      </c>
      <c r="L202" s="393">
        <v>0</v>
      </c>
      <c r="M202" s="393">
        <v>0</v>
      </c>
      <c r="N202" s="393">
        <v>0</v>
      </c>
      <c r="O202" s="393">
        <v>0</v>
      </c>
      <c r="P202" s="393">
        <v>0</v>
      </c>
      <c r="Q202" s="393">
        <v>0</v>
      </c>
      <c r="R202" s="393">
        <v>0</v>
      </c>
      <c r="S202" s="393">
        <v>0</v>
      </c>
      <c r="T202" s="393">
        <v>0</v>
      </c>
      <c r="U202" s="394">
        <v>0</v>
      </c>
    </row>
    <row r="203" spans="1:23" x14ac:dyDescent="0.35">
      <c r="C203" t="s">
        <v>569</v>
      </c>
      <c r="D203" s="379"/>
    </row>
    <row r="204" spans="1:23" x14ac:dyDescent="0.35">
      <c r="C204" s="602" t="s">
        <v>475</v>
      </c>
      <c r="D204" s="603"/>
      <c r="E204" s="564"/>
      <c r="F204" s="565"/>
      <c r="I204" s="418">
        <v>2011</v>
      </c>
      <c r="J204" s="419">
        <v>2012</v>
      </c>
      <c r="K204" s="419">
        <v>2013</v>
      </c>
      <c r="L204" s="419">
        <v>2014</v>
      </c>
      <c r="M204" s="419">
        <v>2015</v>
      </c>
      <c r="N204" s="419">
        <v>2016</v>
      </c>
      <c r="O204" s="419">
        <v>2017</v>
      </c>
      <c r="P204" s="419">
        <v>2018</v>
      </c>
      <c r="Q204" s="419">
        <v>2019</v>
      </c>
      <c r="R204" s="419">
        <v>2020</v>
      </c>
      <c r="S204" s="419">
        <v>2021</v>
      </c>
      <c r="T204" s="419">
        <v>2022</v>
      </c>
      <c r="U204" s="420">
        <v>2023</v>
      </c>
    </row>
    <row r="205" spans="1:23" x14ac:dyDescent="0.35">
      <c r="C205" s="561" t="s">
        <v>476</v>
      </c>
      <c r="D205" s="555"/>
      <c r="E205" s="555"/>
      <c r="F205" s="606"/>
      <c r="I205" s="593"/>
      <c r="J205" s="594"/>
      <c r="K205" s="594"/>
      <c r="L205" s="594"/>
      <c r="M205" s="594"/>
      <c r="N205" s="594"/>
      <c r="O205" s="594"/>
      <c r="P205" s="594"/>
      <c r="Q205" s="594"/>
      <c r="R205" s="594"/>
      <c r="S205" s="594"/>
      <c r="T205" s="594"/>
      <c r="U205" s="595"/>
      <c r="V205" s="15" t="s">
        <v>570</v>
      </c>
      <c r="W205" s="15" t="s">
        <v>571</v>
      </c>
    </row>
    <row r="206" spans="1:23" x14ac:dyDescent="0.35">
      <c r="C206" s="587" t="s">
        <v>480</v>
      </c>
      <c r="D206" s="588"/>
      <c r="E206" s="104"/>
      <c r="F206" s="239"/>
      <c r="I206" s="596">
        <f>I39</f>
        <v>2018799902.6179156</v>
      </c>
      <c r="J206" s="382">
        <f t="shared" ref="J206:U206" si="18">J39</f>
        <v>2147075117.8364193</v>
      </c>
      <c r="K206" s="382">
        <f t="shared" si="18"/>
        <v>2345141310.331892</v>
      </c>
      <c r="L206" s="382">
        <f t="shared" si="18"/>
        <v>2179516805.3585987</v>
      </c>
      <c r="M206" s="382">
        <f t="shared" si="18"/>
        <v>2189784534.0549407</v>
      </c>
      <c r="N206" s="382">
        <f t="shared" si="18"/>
        <v>2039415995.4981427</v>
      </c>
      <c r="O206" s="382">
        <f t="shared" si="18"/>
        <v>2071520817.738826</v>
      </c>
      <c r="P206" s="382">
        <f t="shared" si="18"/>
        <v>2125133409.1329706</v>
      </c>
      <c r="Q206" s="382">
        <f t="shared" si="18"/>
        <v>2140072335.3812082</v>
      </c>
      <c r="R206" s="382">
        <f t="shared" si="18"/>
        <v>2024412853.7416446</v>
      </c>
      <c r="S206" s="382">
        <f t="shared" si="18"/>
        <v>2113989485.2922189</v>
      </c>
      <c r="T206" s="382">
        <f t="shared" si="18"/>
        <v>2657319612.6489244</v>
      </c>
      <c r="U206" s="501">
        <f t="shared" si="18"/>
        <v>3272862826.32231</v>
      </c>
    </row>
    <row r="207" spans="1:23" x14ac:dyDescent="0.35">
      <c r="C207" s="237" t="s">
        <v>564</v>
      </c>
      <c r="D207" s="588"/>
      <c r="E207" s="104"/>
      <c r="F207" s="239"/>
      <c r="I207" s="597">
        <f>I$206*$D197</f>
        <v>1150715944.4922118</v>
      </c>
      <c r="J207" s="375">
        <f>J$206*$D197</f>
        <v>1223832817.166759</v>
      </c>
      <c r="K207" s="375">
        <f t="shared" ref="K207:P207" si="19">K$206*$D197</f>
        <v>1336730546.8891783</v>
      </c>
      <c r="L207" s="375">
        <f t="shared" si="19"/>
        <v>1242324579.0544012</v>
      </c>
      <c r="M207" s="375">
        <f t="shared" si="19"/>
        <v>1248177184.4113162</v>
      </c>
      <c r="N207" s="375">
        <f t="shared" si="19"/>
        <v>1162467117.4339414</v>
      </c>
      <c r="O207" s="375">
        <f t="shared" si="19"/>
        <v>1180766866.1111307</v>
      </c>
      <c r="P207" s="375">
        <f t="shared" si="19"/>
        <v>1211326043.2057931</v>
      </c>
      <c r="Q207" s="375">
        <f>Q$206*$D197</f>
        <v>1219841231.1672885</v>
      </c>
      <c r="R207" s="375">
        <f t="shared" ref="R207:U207" si="20">R$206*$D197</f>
        <v>1153915326.6327374</v>
      </c>
      <c r="S207" s="375">
        <f t="shared" si="20"/>
        <v>1204974006.6165648</v>
      </c>
      <c r="T207" s="375">
        <f t="shared" si="20"/>
        <v>1514672179.2098868</v>
      </c>
      <c r="U207" s="376">
        <f t="shared" si="20"/>
        <v>1865531811.0037165</v>
      </c>
    </row>
    <row r="208" spans="1:23" x14ac:dyDescent="0.35">
      <c r="C208" s="237" t="s">
        <v>228</v>
      </c>
      <c r="D208" s="588"/>
      <c r="E208" s="588"/>
      <c r="F208" s="239"/>
      <c r="I208" s="597">
        <f t="shared" ref="I208:P209" si="21">I$206*$D198</f>
        <v>565263972.73301637</v>
      </c>
      <c r="J208" s="375">
        <f t="shared" si="21"/>
        <v>601181032.99419749</v>
      </c>
      <c r="K208" s="375">
        <f t="shared" si="21"/>
        <v>656639566.89292979</v>
      </c>
      <c r="L208" s="375">
        <f t="shared" si="21"/>
        <v>610264705.5004077</v>
      </c>
      <c r="M208" s="375">
        <f t="shared" si="21"/>
        <v>613139669.53538346</v>
      </c>
      <c r="N208" s="375">
        <f t="shared" si="21"/>
        <v>571036478.73948002</v>
      </c>
      <c r="O208" s="375">
        <f t="shared" si="21"/>
        <v>580025828.96687138</v>
      </c>
      <c r="P208" s="375">
        <f t="shared" si="21"/>
        <v>595037354.55723178</v>
      </c>
      <c r="Q208" s="375">
        <f>Q$206*$D198</f>
        <v>599220253.9067384</v>
      </c>
      <c r="R208" s="375">
        <f t="shared" ref="R208:U208" si="22">R$206*$D198</f>
        <v>566835599.04766059</v>
      </c>
      <c r="S208" s="375">
        <f t="shared" si="22"/>
        <v>591917055.88182139</v>
      </c>
      <c r="T208" s="375">
        <f t="shared" si="22"/>
        <v>744049491.54169893</v>
      </c>
      <c r="U208" s="376">
        <f t="shared" si="22"/>
        <v>916401591.37024689</v>
      </c>
      <c r="V208" s="385" t="e">
        <f>T208*#REF!</f>
        <v>#REF!</v>
      </c>
      <c r="W208" s="385" t="e">
        <f>U208*#REF!</f>
        <v>#REF!</v>
      </c>
    </row>
    <row r="209" spans="3:23" x14ac:dyDescent="0.35">
      <c r="C209" s="237" t="s">
        <v>565</v>
      </c>
      <c r="D209" s="588"/>
      <c r="E209" s="588"/>
      <c r="F209" s="239"/>
      <c r="I209" s="597">
        <f>I$206*$D199</f>
        <v>121127994.15707493</v>
      </c>
      <c r="J209" s="375">
        <f t="shared" si="21"/>
        <v>128824507.07018515</v>
      </c>
      <c r="K209" s="375">
        <f t="shared" si="21"/>
        <v>140708478.61991352</v>
      </c>
      <c r="L209" s="375">
        <f t="shared" si="21"/>
        <v>130771008.32151592</v>
      </c>
      <c r="M209" s="375">
        <f t="shared" si="21"/>
        <v>131387072.04329644</v>
      </c>
      <c r="N209" s="375">
        <f t="shared" si="21"/>
        <v>122364959.72988856</v>
      </c>
      <c r="O209" s="375">
        <f t="shared" si="21"/>
        <v>124291249.06432956</v>
      </c>
      <c r="P209" s="375">
        <f t="shared" si="21"/>
        <v>127508004.54797822</v>
      </c>
      <c r="Q209" s="375">
        <f t="shared" ref="Q209:U209" si="23">Q$206*$D199</f>
        <v>128404340.12287249</v>
      </c>
      <c r="R209" s="375">
        <f t="shared" si="23"/>
        <v>121464771.22449867</v>
      </c>
      <c r="S209" s="375">
        <f t="shared" si="23"/>
        <v>126839369.11753313</v>
      </c>
      <c r="T209" s="375">
        <f t="shared" si="23"/>
        <v>159439176.75893545</v>
      </c>
      <c r="U209" s="376">
        <f t="shared" si="23"/>
        <v>196371769.57933858</v>
      </c>
    </row>
    <row r="210" spans="3:23" x14ac:dyDescent="0.35">
      <c r="C210" s="237" t="s">
        <v>567</v>
      </c>
      <c r="D210" s="588"/>
      <c r="E210" s="588"/>
      <c r="F210" s="239"/>
      <c r="I210" s="597">
        <f t="shared" ref="I210:P210" si="24">I$206*$D200</f>
        <v>141315993.18325409</v>
      </c>
      <c r="J210" s="375">
        <f t="shared" si="24"/>
        <v>150295258.24854937</v>
      </c>
      <c r="K210" s="375">
        <f t="shared" si="24"/>
        <v>164159891.72323245</v>
      </c>
      <c r="L210" s="375">
        <f t="shared" si="24"/>
        <v>152566176.37510192</v>
      </c>
      <c r="M210" s="375">
        <f t="shared" si="24"/>
        <v>153284917.38384587</v>
      </c>
      <c r="N210" s="375">
        <f t="shared" si="24"/>
        <v>142759119.68487</v>
      </c>
      <c r="O210" s="375">
        <f t="shared" si="24"/>
        <v>145006457.24171785</v>
      </c>
      <c r="P210" s="375">
        <f t="shared" si="24"/>
        <v>148759338.63930795</v>
      </c>
      <c r="Q210" s="375">
        <f>Q$206*$D200</f>
        <v>149805063.4766846</v>
      </c>
      <c r="R210" s="375">
        <f>R$206*$D200</f>
        <v>141708899.76191515</v>
      </c>
      <c r="S210" s="375">
        <f>S$206*$D200</f>
        <v>147979263.97045535</v>
      </c>
      <c r="T210" s="375">
        <f t="shared" ref="T210" si="25">T$206*$D200</f>
        <v>186012372.88542473</v>
      </c>
      <c r="U210" s="376">
        <f>U$206*$D200</f>
        <v>229100397.84256172</v>
      </c>
    </row>
    <row r="211" spans="3:23" x14ac:dyDescent="0.35">
      <c r="C211" s="237" t="s">
        <v>572</v>
      </c>
      <c r="D211" s="588"/>
      <c r="E211" s="588"/>
      <c r="F211" s="239"/>
      <c r="I211" s="597">
        <f t="shared" ref="I211:P211" si="26">I$206*$D201</f>
        <v>40375998.052358314</v>
      </c>
      <c r="J211" s="375">
        <f t="shared" si="26"/>
        <v>42941502.35672839</v>
      </c>
      <c r="K211" s="375">
        <f t="shared" si="26"/>
        <v>46902826.206637844</v>
      </c>
      <c r="L211" s="375">
        <f>L$206*$D201</f>
        <v>43590336.107171975</v>
      </c>
      <c r="M211" s="375">
        <f t="shared" si="26"/>
        <v>43795690.681098811</v>
      </c>
      <c r="N211" s="375">
        <f t="shared" si="26"/>
        <v>40788319.909962855</v>
      </c>
      <c r="O211" s="375">
        <f t="shared" si="26"/>
        <v>41430416.354776524</v>
      </c>
      <c r="P211" s="375">
        <f t="shared" si="26"/>
        <v>42502668.18265941</v>
      </c>
      <c r="Q211" s="375">
        <f>Q$206*$D201</f>
        <v>42801446.707624167</v>
      </c>
      <c r="R211" s="375">
        <f>R$206*$D201</f>
        <v>40488257.074832894</v>
      </c>
      <c r="S211" s="375">
        <f t="shared" ref="S211:T211" si="27">S$206*$D201</f>
        <v>42279789.70584438</v>
      </c>
      <c r="T211" s="375">
        <f t="shared" si="27"/>
        <v>53146392.252978489</v>
      </c>
      <c r="U211" s="376">
        <f>U$206*$D201</f>
        <v>65457256.526446201</v>
      </c>
    </row>
    <row r="212" spans="3:23" x14ac:dyDescent="0.35">
      <c r="C212" s="586" t="s">
        <v>564</v>
      </c>
      <c r="D212" s="588"/>
      <c r="E212" s="588"/>
      <c r="F212" s="239"/>
      <c r="I212" s="598">
        <f t="shared" ref="I212:P212" si="28">I207*I197</f>
        <v>109242929.30237943</v>
      </c>
      <c r="J212" s="373">
        <f t="shared" si="28"/>
        <v>108702026.29219513</v>
      </c>
      <c r="K212" s="373">
        <f t="shared" si="28"/>
        <v>105814585.71040411</v>
      </c>
      <c r="L212" s="373">
        <f t="shared" si="28"/>
        <v>56749998.483058818</v>
      </c>
      <c r="M212" s="373">
        <f t="shared" si="28"/>
        <v>75620078.109960616</v>
      </c>
      <c r="N212" s="373">
        <f t="shared" si="28"/>
        <v>98613602.131430164</v>
      </c>
      <c r="O212" s="373">
        <f t="shared" si="28"/>
        <v>119656118.91282707</v>
      </c>
      <c r="P212" s="373">
        <f t="shared" si="28"/>
        <v>85022074.312534779</v>
      </c>
      <c r="Q212" s="373">
        <f>Q207*Q197</f>
        <v>94851140.340328649</v>
      </c>
      <c r="R212" s="373">
        <f t="shared" ref="R212:U212" si="29">R207*R197</f>
        <v>86214628.382356197</v>
      </c>
      <c r="S212" s="373">
        <f t="shared" si="29"/>
        <v>88977243.97493355</v>
      </c>
      <c r="T212" s="373">
        <f t="shared" si="29"/>
        <v>167046970.3128576</v>
      </c>
      <c r="U212" s="374">
        <f t="shared" si="29"/>
        <v>119364197.61466175</v>
      </c>
    </row>
    <row r="213" spans="3:23" x14ac:dyDescent="0.35">
      <c r="C213" s="586" t="s">
        <v>228</v>
      </c>
      <c r="D213" s="588"/>
      <c r="E213" s="588"/>
      <c r="F213" s="239"/>
      <c r="I213" s="598">
        <f>I208*I198</f>
        <v>565263972.73301637</v>
      </c>
      <c r="J213" s="373">
        <f t="shared" ref="J213:P213" si="30">J208*J198</f>
        <v>601181032.99419749</v>
      </c>
      <c r="K213" s="373">
        <f t="shared" si="30"/>
        <v>656639566.89292979</v>
      </c>
      <c r="L213" s="373">
        <f t="shared" si="30"/>
        <v>610264705.5004077</v>
      </c>
      <c r="M213" s="373">
        <f t="shared" si="30"/>
        <v>613009214.28654611</v>
      </c>
      <c r="N213" s="373">
        <f t="shared" si="30"/>
        <v>570802925.98743939</v>
      </c>
      <c r="O213" s="373">
        <f t="shared" si="30"/>
        <v>579562734.49264634</v>
      </c>
      <c r="P213" s="373">
        <f t="shared" si="30"/>
        <v>594185562.84314167</v>
      </c>
      <c r="Q213" s="373">
        <f>Q208*Q198</f>
        <v>597770527.48599625</v>
      </c>
      <c r="R213" s="373">
        <f t="shared" ref="Q213:U216" si="31">R208*R198</f>
        <v>564269676.58283579</v>
      </c>
      <c r="S213" s="373">
        <f t="shared" si="31"/>
        <v>586501644.51949835</v>
      </c>
      <c r="T213" s="373">
        <f t="shared" si="31"/>
        <v>732991431.15785205</v>
      </c>
      <c r="U213" s="374">
        <f t="shared" si="31"/>
        <v>896403379.18446922</v>
      </c>
    </row>
    <row r="214" spans="3:23" x14ac:dyDescent="0.35">
      <c r="C214" s="586" t="s">
        <v>565</v>
      </c>
      <c r="D214" s="588"/>
      <c r="E214" s="588"/>
      <c r="F214" s="239"/>
      <c r="I214" s="598">
        <f t="shared" ref="I214:P215" si="32">I209*I199</f>
        <v>121127994.15707493</v>
      </c>
      <c r="J214" s="373">
        <f t="shared" si="32"/>
        <v>128824507.07018515</v>
      </c>
      <c r="K214" s="373">
        <f t="shared" si="32"/>
        <v>140708478.61991352</v>
      </c>
      <c r="L214" s="373">
        <f t="shared" si="32"/>
        <v>130771008.32151592</v>
      </c>
      <c r="M214" s="373">
        <f t="shared" si="32"/>
        <v>131387072.04329644</v>
      </c>
      <c r="N214" s="373">
        <f t="shared" si="32"/>
        <v>122364959.72988856</v>
      </c>
      <c r="O214" s="373">
        <f t="shared" si="32"/>
        <v>124291249.06432956</v>
      </c>
      <c r="P214" s="373">
        <f t="shared" si="32"/>
        <v>127508004.54797822</v>
      </c>
      <c r="Q214" s="373">
        <f t="shared" si="31"/>
        <v>128404340.12287249</v>
      </c>
      <c r="R214" s="373">
        <f t="shared" si="31"/>
        <v>121464771.22449867</v>
      </c>
      <c r="S214" s="373">
        <f t="shared" si="31"/>
        <v>126839369.11753313</v>
      </c>
      <c r="T214" s="373">
        <f t="shared" si="31"/>
        <v>159439176.75893545</v>
      </c>
      <c r="U214" s="374">
        <f t="shared" si="31"/>
        <v>196371769.57933858</v>
      </c>
    </row>
    <row r="215" spans="3:23" x14ac:dyDescent="0.35">
      <c r="C215" s="586" t="s">
        <v>567</v>
      </c>
      <c r="D215" s="588"/>
      <c r="E215" s="588"/>
      <c r="F215" s="239"/>
      <c r="I215" s="598">
        <f t="shared" si="32"/>
        <v>96055626.896099925</v>
      </c>
      <c r="J215" s="373">
        <f t="shared" si="32"/>
        <v>99602890.076807216</v>
      </c>
      <c r="K215" s="373">
        <f t="shared" si="32"/>
        <v>107716159.72700831</v>
      </c>
      <c r="L215" s="373">
        <f t="shared" si="32"/>
        <v>80829650.581795052</v>
      </c>
      <c r="M215" s="373">
        <f t="shared" si="32"/>
        <v>78813265.812024996</v>
      </c>
      <c r="N215" s="373">
        <f t="shared" si="32"/>
        <v>68598354.800089508</v>
      </c>
      <c r="O215" s="373">
        <f t="shared" si="32"/>
        <v>65006915.787515543</v>
      </c>
      <c r="P215" s="373">
        <f t="shared" si="32"/>
        <v>66657497.822207965</v>
      </c>
      <c r="Q215" s="373">
        <f t="shared" si="31"/>
        <v>63428849.895864964</v>
      </c>
      <c r="R215" s="373">
        <f t="shared" si="31"/>
        <v>59393806.637951933</v>
      </c>
      <c r="S215" s="373">
        <f t="shared" si="31"/>
        <v>60647003.210232556</v>
      </c>
      <c r="T215" s="373">
        <f t="shared" si="31"/>
        <v>67590153.260110676</v>
      </c>
      <c r="U215" s="374">
        <f t="shared" si="31"/>
        <v>85706952.491273805</v>
      </c>
    </row>
    <row r="216" spans="3:23" x14ac:dyDescent="0.35">
      <c r="C216" s="586" t="s">
        <v>572</v>
      </c>
      <c r="D216" s="588"/>
      <c r="E216" s="588"/>
      <c r="F216" s="239"/>
      <c r="I216" s="598">
        <f t="shared" ref="I216:P216" si="33">I211*I201</f>
        <v>40375998.052358314</v>
      </c>
      <c r="J216" s="373">
        <f t="shared" si="33"/>
        <v>42941502.35672839</v>
      </c>
      <c r="K216" s="373">
        <f t="shared" si="33"/>
        <v>46902826.206637844</v>
      </c>
      <c r="L216" s="373">
        <f t="shared" si="33"/>
        <v>43590336.107171975</v>
      </c>
      <c r="M216" s="373">
        <f t="shared" si="33"/>
        <v>43795690.681098811</v>
      </c>
      <c r="N216" s="373">
        <f t="shared" si="33"/>
        <v>40788319.909962855</v>
      </c>
      <c r="O216" s="373">
        <f t="shared" si="33"/>
        <v>41430416.354776524</v>
      </c>
      <c r="P216" s="373">
        <f t="shared" si="33"/>
        <v>42502668.18265941</v>
      </c>
      <c r="Q216" s="373">
        <f>Q211*Q201</f>
        <v>42801446.707624167</v>
      </c>
      <c r="R216" s="373">
        <f t="shared" si="31"/>
        <v>40488257.074832894</v>
      </c>
      <c r="S216" s="373">
        <f t="shared" si="31"/>
        <v>42279789.70584438</v>
      </c>
      <c r="T216" s="373">
        <f t="shared" si="31"/>
        <v>53146392.252978489</v>
      </c>
      <c r="U216" s="374">
        <f t="shared" si="31"/>
        <v>65457256.526446201</v>
      </c>
    </row>
    <row r="217" spans="3:23" x14ac:dyDescent="0.35">
      <c r="C217" s="586" t="s">
        <v>277</v>
      </c>
      <c r="D217" s="588"/>
      <c r="E217" s="588"/>
      <c r="F217" s="239"/>
      <c r="I217" s="599">
        <f t="shared" ref="I217:P217" si="34">SUM(I212:I216)</f>
        <v>932066521.14092898</v>
      </c>
      <c r="J217" s="434">
        <f t="shared" si="34"/>
        <v>981251958.79011345</v>
      </c>
      <c r="K217" s="434">
        <f t="shared" si="34"/>
        <v>1057781617.1568937</v>
      </c>
      <c r="L217" s="434">
        <f t="shared" si="34"/>
        <v>922205698.99394953</v>
      </c>
      <c r="M217" s="434">
        <f t="shared" si="34"/>
        <v>942625320.93292701</v>
      </c>
      <c r="N217" s="434">
        <f t="shared" si="34"/>
        <v>901168162.55881047</v>
      </c>
      <c r="O217" s="434">
        <f t="shared" si="34"/>
        <v>929947434.61209512</v>
      </c>
      <c r="P217" s="434">
        <f t="shared" si="34"/>
        <v>915875807.70852208</v>
      </c>
      <c r="Q217" s="434">
        <f>SUM(Q212:Q216)</f>
        <v>927256304.55268657</v>
      </c>
      <c r="R217" s="434">
        <f t="shared" ref="R217:U217" si="35">SUM(R212:R216)</f>
        <v>871831139.90247548</v>
      </c>
      <c r="S217" s="434">
        <f t="shared" si="35"/>
        <v>905245050.52804184</v>
      </c>
      <c r="T217" s="434">
        <f t="shared" si="35"/>
        <v>1180214123.7427344</v>
      </c>
      <c r="U217" s="500">
        <f t="shared" si="35"/>
        <v>1363303555.3961895</v>
      </c>
    </row>
    <row r="218" spans="3:23" x14ac:dyDescent="0.35">
      <c r="C218" s="561" t="s">
        <v>484</v>
      </c>
      <c r="D218" s="555"/>
      <c r="E218" s="555"/>
      <c r="F218" s="606"/>
      <c r="I218" s="464"/>
      <c r="J218" s="555"/>
      <c r="K218" s="555"/>
      <c r="L218" s="555"/>
      <c r="M218" s="555"/>
      <c r="N218" s="555"/>
      <c r="O218" s="555"/>
      <c r="P218" s="555"/>
      <c r="Q218" s="556"/>
      <c r="R218" s="556"/>
      <c r="S218" s="556"/>
      <c r="T218" s="556"/>
      <c r="U218" s="377"/>
    </row>
    <row r="219" spans="3:23" x14ac:dyDescent="0.35">
      <c r="C219" s="587" t="s">
        <v>480</v>
      </c>
      <c r="D219" s="588"/>
      <c r="E219" s="104"/>
      <c r="F219" s="239"/>
      <c r="I219" s="596">
        <f>I48</f>
        <v>261219958.1283631</v>
      </c>
      <c r="J219" s="382">
        <f t="shared" ref="J219:U219" si="36">J48</f>
        <v>290858626.10306847</v>
      </c>
      <c r="K219" s="382">
        <f t="shared" si="36"/>
        <v>328468964.19360006</v>
      </c>
      <c r="L219" s="382">
        <f t="shared" si="36"/>
        <v>338140142.0659982</v>
      </c>
      <c r="M219" s="382">
        <f t="shared" si="36"/>
        <v>363716924.96723127</v>
      </c>
      <c r="N219" s="382">
        <f t="shared" si="36"/>
        <v>363956264.97733551</v>
      </c>
      <c r="O219" s="382">
        <f t="shared" si="36"/>
        <v>394300556.7121886</v>
      </c>
      <c r="P219" s="382">
        <f t="shared" si="36"/>
        <v>427774186.16606498</v>
      </c>
      <c r="Q219" s="382">
        <f t="shared" si="36"/>
        <v>454660576.15793622</v>
      </c>
      <c r="R219" s="382">
        <f t="shared" si="36"/>
        <v>458089650.73570764</v>
      </c>
      <c r="S219" s="382">
        <f t="shared" si="36"/>
        <v>482681602.03537613</v>
      </c>
      <c r="T219" s="382">
        <f t="shared" si="36"/>
        <v>614156996.92131341</v>
      </c>
      <c r="U219" s="501">
        <f t="shared" si="36"/>
        <v>832843510.20915127</v>
      </c>
    </row>
    <row r="220" spans="3:23" x14ac:dyDescent="0.35">
      <c r="C220" s="237" t="s">
        <v>564</v>
      </c>
      <c r="D220" s="588"/>
      <c r="E220" s="104"/>
      <c r="F220" s="239"/>
      <c r="I220" s="597">
        <f t="shared" ref="I220:P224" si="37">I$219*$D197</f>
        <v>148895376.13316697</v>
      </c>
      <c r="J220" s="375">
        <f t="shared" si="37"/>
        <v>165789416.87874901</v>
      </c>
      <c r="K220" s="375">
        <f t="shared" si="37"/>
        <v>187227309.59035203</v>
      </c>
      <c r="L220" s="375">
        <f t="shared" si="37"/>
        <v>192739880.97761896</v>
      </c>
      <c r="M220" s="375">
        <f t="shared" si="37"/>
        <v>207318647.23132181</v>
      </c>
      <c r="N220" s="375">
        <f t="shared" si="37"/>
        <v>207455071.03708121</v>
      </c>
      <c r="O220" s="375">
        <f t="shared" si="37"/>
        <v>224751317.32594749</v>
      </c>
      <c r="P220" s="375">
        <f t="shared" si="37"/>
        <v>243831286.11465701</v>
      </c>
      <c r="Q220" s="375">
        <f t="shared" ref="Q220:U224" si="38">Q$219*$D197</f>
        <v>259156528.41002363</v>
      </c>
      <c r="R220" s="375">
        <f t="shared" si="38"/>
        <v>261111100.91935334</v>
      </c>
      <c r="S220" s="375">
        <f t="shared" si="38"/>
        <v>275128513.16016436</v>
      </c>
      <c r="T220" s="375">
        <f t="shared" si="38"/>
        <v>350069488.2451486</v>
      </c>
      <c r="U220" s="376">
        <f t="shared" si="38"/>
        <v>474720800.81921619</v>
      </c>
    </row>
    <row r="221" spans="3:23" x14ac:dyDescent="0.35">
      <c r="C221" s="237" t="s">
        <v>228</v>
      </c>
      <c r="D221" s="588"/>
      <c r="E221" s="104"/>
      <c r="F221" s="239"/>
      <c r="I221" s="597">
        <f t="shared" si="37"/>
        <v>73141588.27594167</v>
      </c>
      <c r="J221" s="375">
        <f t="shared" si="37"/>
        <v>81440415.308859184</v>
      </c>
      <c r="K221" s="375">
        <f t="shared" si="37"/>
        <v>91971309.974208027</v>
      </c>
      <c r="L221" s="375">
        <f t="shared" si="37"/>
        <v>94679239.778479502</v>
      </c>
      <c r="M221" s="375">
        <f t="shared" si="37"/>
        <v>101840738.99082476</v>
      </c>
      <c r="N221" s="375">
        <f t="shared" si="37"/>
        <v>101907754.19365396</v>
      </c>
      <c r="O221" s="375">
        <f t="shared" si="37"/>
        <v>110404155.87941281</v>
      </c>
      <c r="P221" s="375">
        <f t="shared" si="37"/>
        <v>119776772.12649821</v>
      </c>
      <c r="Q221" s="375">
        <f>Q$219*$D198</f>
        <v>127304961.32422215</v>
      </c>
      <c r="R221" s="375">
        <f>R$219*$D198</f>
        <v>128265102.20599815</v>
      </c>
      <c r="S221" s="375">
        <f t="shared" si="38"/>
        <v>135150848.56990534</v>
      </c>
      <c r="T221" s="375">
        <f t="shared" si="38"/>
        <v>171963959.13796777</v>
      </c>
      <c r="U221" s="376">
        <f t="shared" si="38"/>
        <v>233196182.85856238</v>
      </c>
      <c r="V221" s="385" t="e">
        <f>T221*#REF!</f>
        <v>#REF!</v>
      </c>
      <c r="W221" s="385" t="e">
        <f>U221*#REF!</f>
        <v>#REF!</v>
      </c>
    </row>
    <row r="222" spans="3:23" x14ac:dyDescent="0.35">
      <c r="C222" s="237" t="s">
        <v>565</v>
      </c>
      <c r="D222" s="588"/>
      <c r="E222" s="104"/>
      <c r="F222" s="239"/>
      <c r="I222" s="597">
        <f t="shared" si="37"/>
        <v>15673197.487701785</v>
      </c>
      <c r="J222" s="375">
        <f t="shared" si="37"/>
        <v>17451517.566184107</v>
      </c>
      <c r="K222" s="375">
        <f t="shared" si="37"/>
        <v>19708137.851616003</v>
      </c>
      <c r="L222" s="375">
        <f t="shared" si="37"/>
        <v>20288408.52395989</v>
      </c>
      <c r="M222" s="375">
        <f t="shared" si="37"/>
        <v>21823015.498033877</v>
      </c>
      <c r="N222" s="375">
        <f t="shared" si="37"/>
        <v>21837375.89864013</v>
      </c>
      <c r="O222" s="375">
        <f t="shared" si="37"/>
        <v>23658033.402731314</v>
      </c>
      <c r="P222" s="375">
        <f t="shared" si="37"/>
        <v>25666451.169963896</v>
      </c>
      <c r="Q222" s="375">
        <f t="shared" si="38"/>
        <v>27279634.569476172</v>
      </c>
      <c r="R222" s="375">
        <f t="shared" si="38"/>
        <v>27485379.044142459</v>
      </c>
      <c r="S222" s="375">
        <f t="shared" si="38"/>
        <v>28960896.122122567</v>
      </c>
      <c r="T222" s="375">
        <f t="shared" si="38"/>
        <v>36849419.815278806</v>
      </c>
      <c r="U222" s="376">
        <f t="shared" si="38"/>
        <v>49970610.612549074</v>
      </c>
    </row>
    <row r="223" spans="3:23" x14ac:dyDescent="0.35">
      <c r="C223" s="237" t="s">
        <v>567</v>
      </c>
      <c r="D223" s="588"/>
      <c r="E223" s="104"/>
      <c r="F223" s="239"/>
      <c r="I223" s="597">
        <f t="shared" si="37"/>
        <v>18285397.068985417</v>
      </c>
      <c r="J223" s="375">
        <f t="shared" si="37"/>
        <v>20360103.827214796</v>
      </c>
      <c r="K223" s="375">
        <f t="shared" si="37"/>
        <v>22992827.493552007</v>
      </c>
      <c r="L223" s="375">
        <f t="shared" si="37"/>
        <v>23669809.944619875</v>
      </c>
      <c r="M223" s="375">
        <f t="shared" si="37"/>
        <v>25460184.74770619</v>
      </c>
      <c r="N223" s="375">
        <f t="shared" si="37"/>
        <v>25476938.548413489</v>
      </c>
      <c r="O223" s="375">
        <f t="shared" si="37"/>
        <v>27601038.969853204</v>
      </c>
      <c r="P223" s="375">
        <f t="shared" si="37"/>
        <v>29944193.031624552</v>
      </c>
      <c r="Q223" s="375">
        <f t="shared" si="38"/>
        <v>31826240.331055537</v>
      </c>
      <c r="R223" s="375">
        <f t="shared" si="38"/>
        <v>32066275.551499538</v>
      </c>
      <c r="S223" s="375">
        <f t="shared" si="38"/>
        <v>33787712.142476335</v>
      </c>
      <c r="T223" s="375">
        <f t="shared" si="38"/>
        <v>42990989.784491941</v>
      </c>
      <c r="U223" s="376">
        <f t="shared" si="38"/>
        <v>58299045.714640595</v>
      </c>
    </row>
    <row r="224" spans="3:23" x14ac:dyDescent="0.35">
      <c r="C224" s="237" t="s">
        <v>572</v>
      </c>
      <c r="D224" s="588"/>
      <c r="E224" s="104"/>
      <c r="F224" s="239"/>
      <c r="I224" s="597">
        <f t="shared" si="37"/>
        <v>5224399.1625672625</v>
      </c>
      <c r="J224" s="375">
        <f t="shared" si="37"/>
        <v>5817172.5220613694</v>
      </c>
      <c r="K224" s="375">
        <f t="shared" si="37"/>
        <v>6569379.2838720009</v>
      </c>
      <c r="L224" s="375">
        <f t="shared" si="37"/>
        <v>6762802.8413199643</v>
      </c>
      <c r="M224" s="375">
        <f t="shared" si="37"/>
        <v>7274338.4993446255</v>
      </c>
      <c r="N224" s="375">
        <f t="shared" si="37"/>
        <v>7279125.2995467102</v>
      </c>
      <c r="O224" s="375">
        <f t="shared" si="37"/>
        <v>7886011.1342437724</v>
      </c>
      <c r="P224" s="375">
        <f t="shared" si="37"/>
        <v>8555483.7233213</v>
      </c>
      <c r="Q224" s="375">
        <f t="shared" si="38"/>
        <v>9093211.5231587254</v>
      </c>
      <c r="R224" s="375">
        <f t="shared" si="38"/>
        <v>9161793.0147141535</v>
      </c>
      <c r="S224" s="375">
        <f t="shared" si="38"/>
        <v>9653632.040707523</v>
      </c>
      <c r="T224" s="375">
        <f t="shared" si="38"/>
        <v>12283139.938426269</v>
      </c>
      <c r="U224" s="376">
        <f t="shared" si="38"/>
        <v>16656870.204183025</v>
      </c>
    </row>
    <row r="225" spans="3:23" x14ac:dyDescent="0.35">
      <c r="C225" s="586" t="s">
        <v>564</v>
      </c>
      <c r="D225" s="588"/>
      <c r="E225" s="104"/>
      <c r="F225" s="239"/>
      <c r="I225" s="598">
        <f t="shared" ref="I225:P225" si="39">I220*I197</f>
        <v>14135345.152920874</v>
      </c>
      <c r="J225" s="373">
        <f t="shared" si="39"/>
        <v>14725577.954546591</v>
      </c>
      <c r="K225" s="373">
        <f t="shared" si="39"/>
        <v>14820773.149892814</v>
      </c>
      <c r="L225" s="373">
        <f t="shared" si="39"/>
        <v>8804452.6668145712</v>
      </c>
      <c r="M225" s="373">
        <f t="shared" si="39"/>
        <v>12560277.894101996</v>
      </c>
      <c r="N225" s="373">
        <f t="shared" si="39"/>
        <v>17598684.322837073</v>
      </c>
      <c r="O225" s="373">
        <f t="shared" si="39"/>
        <v>22775766.430794321</v>
      </c>
      <c r="P225" s="373">
        <f t="shared" si="39"/>
        <v>17114336.67594257</v>
      </c>
      <c r="Q225" s="373">
        <f>Q220*Q197</f>
        <v>20151222.64953221</v>
      </c>
      <c r="R225" s="373">
        <f t="shared" ref="R225:U225" si="40">R220*R197</f>
        <v>19508880.775473773</v>
      </c>
      <c r="S225" s="373">
        <f t="shared" si="40"/>
        <v>20315937.692838971</v>
      </c>
      <c r="T225" s="373">
        <f t="shared" si="40"/>
        <v>38607725.297251493</v>
      </c>
      <c r="U225" s="374">
        <f t="shared" si="40"/>
        <v>30374538.320141524</v>
      </c>
    </row>
    <row r="226" spans="3:23" x14ac:dyDescent="0.35">
      <c r="C226" s="586" t="s">
        <v>228</v>
      </c>
      <c r="D226" s="588"/>
      <c r="E226" s="104"/>
      <c r="F226" s="239"/>
      <c r="I226" s="598">
        <f t="shared" ref="I226:P229" si="41">I221*I198</f>
        <v>73141588.27594167</v>
      </c>
      <c r="J226" s="373">
        <f t="shared" si="41"/>
        <v>81440415.308859184</v>
      </c>
      <c r="K226" s="373">
        <f t="shared" si="41"/>
        <v>91971309.974208027</v>
      </c>
      <c r="L226" s="373">
        <f t="shared" si="41"/>
        <v>94679239.778479502</v>
      </c>
      <c r="M226" s="373">
        <f t="shared" si="41"/>
        <v>101819070.74848628</v>
      </c>
      <c r="N226" s="373">
        <f t="shared" si="41"/>
        <v>101866074.13058907</v>
      </c>
      <c r="O226" s="373">
        <f t="shared" si="41"/>
        <v>110316008.84877057</v>
      </c>
      <c r="P226" s="373">
        <f t="shared" si="41"/>
        <v>119605312.5344971</v>
      </c>
      <c r="Q226" s="373">
        <f>Q221*Q198</f>
        <v>126996965.45005064</v>
      </c>
      <c r="R226" s="373">
        <f>R221*R198</f>
        <v>127684478.28654712</v>
      </c>
      <c r="S226" s="373">
        <f t="shared" ref="Q226:U229" si="42">S221*S198</f>
        <v>133914362.08298917</v>
      </c>
      <c r="T226" s="373">
        <f t="shared" si="42"/>
        <v>169408231.50746718</v>
      </c>
      <c r="U226" s="374">
        <f t="shared" si="42"/>
        <v>228107249.37172082</v>
      </c>
    </row>
    <row r="227" spans="3:23" x14ac:dyDescent="0.35">
      <c r="C227" s="586" t="s">
        <v>565</v>
      </c>
      <c r="D227" s="588"/>
      <c r="E227" s="104"/>
      <c r="F227" s="239"/>
      <c r="I227" s="598">
        <f t="shared" si="41"/>
        <v>15673197.487701785</v>
      </c>
      <c r="J227" s="373">
        <f t="shared" si="41"/>
        <v>17451517.566184107</v>
      </c>
      <c r="K227" s="373">
        <f t="shared" si="41"/>
        <v>19708137.851616003</v>
      </c>
      <c r="L227" s="373">
        <f t="shared" si="41"/>
        <v>20288408.52395989</v>
      </c>
      <c r="M227" s="373">
        <f t="shared" si="41"/>
        <v>21823015.498033877</v>
      </c>
      <c r="N227" s="373">
        <f t="shared" si="41"/>
        <v>21837375.89864013</v>
      </c>
      <c r="O227" s="373">
        <f t="shared" si="41"/>
        <v>23658033.402731314</v>
      </c>
      <c r="P227" s="373">
        <f t="shared" si="41"/>
        <v>25666451.169963896</v>
      </c>
      <c r="Q227" s="373">
        <f t="shared" si="42"/>
        <v>27279634.569476172</v>
      </c>
      <c r="R227" s="373">
        <f t="shared" si="42"/>
        <v>27485379.044142459</v>
      </c>
      <c r="S227" s="373">
        <f t="shared" si="42"/>
        <v>28960896.122122567</v>
      </c>
      <c r="T227" s="373">
        <f t="shared" si="42"/>
        <v>36849419.815278806</v>
      </c>
      <c r="U227" s="374">
        <f t="shared" si="42"/>
        <v>49970610.612549074</v>
      </c>
    </row>
    <row r="228" spans="3:23" x14ac:dyDescent="0.35">
      <c r="C228" s="586" t="s">
        <v>567</v>
      </c>
      <c r="D228" s="588"/>
      <c r="E228" s="104"/>
      <c r="F228" s="239"/>
      <c r="I228" s="598">
        <f t="shared" si="41"/>
        <v>12428991.502949271</v>
      </c>
      <c r="J228" s="373">
        <f t="shared" si="41"/>
        <v>13492941.873793485</v>
      </c>
      <c r="K228" s="373">
        <f t="shared" si="41"/>
        <v>15087114.476455797</v>
      </c>
      <c r="L228" s="373">
        <f t="shared" si="41"/>
        <v>12540279.32414875</v>
      </c>
      <c r="M228" s="373">
        <f t="shared" si="41"/>
        <v>13090657.204840565</v>
      </c>
      <c r="N228" s="373">
        <f t="shared" si="41"/>
        <v>12242132.577043129</v>
      </c>
      <c r="O228" s="373">
        <f t="shared" si="41"/>
        <v>12373644.940309459</v>
      </c>
      <c r="P228" s="373">
        <f t="shared" si="41"/>
        <v>13417678.513837297</v>
      </c>
      <c r="Q228" s="373">
        <f t="shared" si="42"/>
        <v>13475524.617513563</v>
      </c>
      <c r="R228" s="373">
        <f t="shared" si="42"/>
        <v>13439792.228327651</v>
      </c>
      <c r="S228" s="373">
        <f t="shared" si="42"/>
        <v>13847369.096120736</v>
      </c>
      <c r="T228" s="373">
        <f t="shared" si="42"/>
        <v>15621367.241669914</v>
      </c>
      <c r="U228" s="374">
        <f t="shared" si="42"/>
        <v>21809798.622807276</v>
      </c>
    </row>
    <row r="229" spans="3:23" x14ac:dyDescent="0.35">
      <c r="C229" s="586" t="s">
        <v>572</v>
      </c>
      <c r="D229" s="588"/>
      <c r="E229" s="104"/>
      <c r="F229" s="239"/>
      <c r="I229" s="598">
        <f t="shared" si="41"/>
        <v>5224399.1625672625</v>
      </c>
      <c r="J229" s="373">
        <f t="shared" si="41"/>
        <v>5817172.5220613694</v>
      </c>
      <c r="K229" s="373">
        <f t="shared" si="41"/>
        <v>6569379.2838720009</v>
      </c>
      <c r="L229" s="373">
        <f t="shared" si="41"/>
        <v>6762802.8413199643</v>
      </c>
      <c r="M229" s="373">
        <f t="shared" si="41"/>
        <v>7274338.4993446255</v>
      </c>
      <c r="N229" s="373">
        <f t="shared" si="41"/>
        <v>7279125.2995467102</v>
      </c>
      <c r="O229" s="373">
        <f t="shared" si="41"/>
        <v>7886011.1342437724</v>
      </c>
      <c r="P229" s="373">
        <f t="shared" si="41"/>
        <v>8555483.7233213</v>
      </c>
      <c r="Q229" s="373">
        <f t="shared" si="42"/>
        <v>9093211.5231587254</v>
      </c>
      <c r="R229" s="373">
        <f t="shared" si="42"/>
        <v>9161793.0147141535</v>
      </c>
      <c r="S229" s="373">
        <f t="shared" si="42"/>
        <v>9653632.040707523</v>
      </c>
      <c r="T229" s="373">
        <f t="shared" si="42"/>
        <v>12283139.938426269</v>
      </c>
      <c r="U229" s="374">
        <f t="shared" si="42"/>
        <v>16656870.204183025</v>
      </c>
    </row>
    <row r="230" spans="3:23" x14ac:dyDescent="0.35">
      <c r="C230" s="586" t="s">
        <v>277</v>
      </c>
      <c r="D230" s="588"/>
      <c r="E230" s="104"/>
      <c r="F230" s="239"/>
      <c r="I230" s="599">
        <f t="shared" ref="I230:P230" si="43">SUM(I225:I229)</f>
        <v>120603521.58208086</v>
      </c>
      <c r="J230" s="434">
        <f t="shared" si="43"/>
        <v>132927625.22544472</v>
      </c>
      <c r="K230" s="434">
        <f t="shared" si="43"/>
        <v>148156714.73604465</v>
      </c>
      <c r="L230" s="434">
        <f t="shared" si="43"/>
        <v>143075183.13472268</v>
      </c>
      <c r="M230" s="434">
        <f t="shared" si="43"/>
        <v>156567359.84480733</v>
      </c>
      <c r="N230" s="434">
        <f t="shared" si="43"/>
        <v>160823392.22865611</v>
      </c>
      <c r="O230" s="434">
        <f t="shared" si="43"/>
        <v>177009464.75684947</v>
      </c>
      <c r="P230" s="434">
        <f t="shared" si="43"/>
        <v>184359262.61756217</v>
      </c>
      <c r="Q230" s="434">
        <f>SUM(Q225:Q229)</f>
        <v>196996558.80973133</v>
      </c>
      <c r="R230" s="434">
        <f t="shared" ref="R230:U230" si="44">SUM(R225:R229)</f>
        <v>197280323.34920517</v>
      </c>
      <c r="S230" s="434">
        <f t="shared" si="44"/>
        <v>206692197.03477898</v>
      </c>
      <c r="T230" s="434">
        <f t="shared" si="44"/>
        <v>272769883.80009365</v>
      </c>
      <c r="U230" s="500">
        <f t="shared" si="44"/>
        <v>346919067.13140172</v>
      </c>
    </row>
    <row r="231" spans="3:23" x14ac:dyDescent="0.35">
      <c r="C231" s="561" t="s">
        <v>485</v>
      </c>
      <c r="D231" s="555"/>
      <c r="E231" s="555"/>
      <c r="F231" s="606"/>
      <c r="I231" s="464"/>
      <c r="J231" s="555"/>
      <c r="K231" s="555"/>
      <c r="L231" s="555"/>
      <c r="M231" s="555"/>
      <c r="N231" s="555"/>
      <c r="O231" s="555"/>
      <c r="P231" s="555"/>
      <c r="Q231" s="556"/>
      <c r="R231" s="556"/>
      <c r="S231" s="556"/>
      <c r="T231" s="556"/>
      <c r="U231" s="377"/>
    </row>
    <row r="232" spans="3:23" x14ac:dyDescent="0.35">
      <c r="C232" s="587" t="s">
        <v>480</v>
      </c>
      <c r="D232" s="588"/>
      <c r="E232" s="104"/>
      <c r="F232" s="239"/>
      <c r="I232" s="596">
        <f>I57</f>
        <v>127986853.46046773</v>
      </c>
      <c r="J232" s="382">
        <f t="shared" ref="J232:U232" si="45">J57</f>
        <v>143883569.3788318</v>
      </c>
      <c r="K232" s="382">
        <f t="shared" si="45"/>
        <v>155165500.40530813</v>
      </c>
      <c r="L232" s="382">
        <f t="shared" si="45"/>
        <v>149906549.3517552</v>
      </c>
      <c r="M232" s="382">
        <f t="shared" si="45"/>
        <v>161853777.20609498</v>
      </c>
      <c r="N232" s="382">
        <f t="shared" si="45"/>
        <v>162963574.65637916</v>
      </c>
      <c r="O232" s="382">
        <f t="shared" si="45"/>
        <v>161013826.64445829</v>
      </c>
      <c r="P232" s="382">
        <f t="shared" si="45"/>
        <v>165581252.6203635</v>
      </c>
      <c r="Q232" s="382">
        <f t="shared" si="45"/>
        <v>169789339.33471143</v>
      </c>
      <c r="R232" s="382">
        <f t="shared" si="45"/>
        <v>171395605.92335209</v>
      </c>
      <c r="S232" s="382">
        <f t="shared" si="45"/>
        <v>187417985.11477318</v>
      </c>
      <c r="T232" s="382">
        <f t="shared" si="45"/>
        <v>234219524.58881238</v>
      </c>
      <c r="U232" s="501">
        <f t="shared" si="45"/>
        <v>312195945.57572645</v>
      </c>
    </row>
    <row r="233" spans="3:23" x14ac:dyDescent="0.35">
      <c r="C233" s="237" t="s">
        <v>564</v>
      </c>
      <c r="D233" s="588"/>
      <c r="E233" s="104"/>
      <c r="F233" s="239"/>
      <c r="I233" s="597">
        <f t="shared" ref="I233:P237" si="46">I$232*$D197</f>
        <v>72952506.472466603</v>
      </c>
      <c r="J233" s="375">
        <f t="shared" si="46"/>
        <v>82013634.545934126</v>
      </c>
      <c r="K233" s="375">
        <f t="shared" si="46"/>
        <v>88444335.231025621</v>
      </c>
      <c r="L233" s="375">
        <f t="shared" si="46"/>
        <v>85446733.130500451</v>
      </c>
      <c r="M233" s="375">
        <f t="shared" si="46"/>
        <v>92256653.007474124</v>
      </c>
      <c r="N233" s="375">
        <f t="shared" si="46"/>
        <v>92889237.554136112</v>
      </c>
      <c r="O233" s="375">
        <f t="shared" si="46"/>
        <v>91777881.187341213</v>
      </c>
      <c r="P233" s="375">
        <f t="shared" si="46"/>
        <v>94381313.993607193</v>
      </c>
      <c r="Q233" s="375">
        <f t="shared" ref="Q233:U237" si="47">Q$232*$D197</f>
        <v>96779923.420785502</v>
      </c>
      <c r="R233" s="375">
        <f t="shared" si="47"/>
        <v>97695495.376310691</v>
      </c>
      <c r="S233" s="375">
        <f t="shared" si="47"/>
        <v>106828251.51542071</v>
      </c>
      <c r="T233" s="375">
        <f t="shared" si="47"/>
        <v>133505129.01562305</v>
      </c>
      <c r="U233" s="376">
        <f t="shared" si="47"/>
        <v>177951688.97816405</v>
      </c>
    </row>
    <row r="234" spans="3:23" x14ac:dyDescent="0.35">
      <c r="C234" s="237" t="s">
        <v>228</v>
      </c>
      <c r="D234" s="588"/>
      <c r="E234" s="104"/>
      <c r="F234" s="239"/>
      <c r="I234" s="597">
        <f t="shared" si="46"/>
        <v>35836318.968930967</v>
      </c>
      <c r="J234" s="375">
        <f t="shared" si="46"/>
        <v>40287399.42607291</v>
      </c>
      <c r="K234" s="375">
        <f t="shared" si="46"/>
        <v>43446340.113486283</v>
      </c>
      <c r="L234" s="375">
        <f t="shared" si="46"/>
        <v>41973833.818491459</v>
      </c>
      <c r="M234" s="375">
        <f t="shared" si="46"/>
        <v>45319057.617706597</v>
      </c>
      <c r="N234" s="375">
        <f t="shared" si="46"/>
        <v>45629800.903786168</v>
      </c>
      <c r="O234" s="375">
        <f t="shared" si="46"/>
        <v>45083871.460448325</v>
      </c>
      <c r="P234" s="375">
        <f t="shared" si="46"/>
        <v>46362750.733701788</v>
      </c>
      <c r="Q234" s="375">
        <f t="shared" si="47"/>
        <v>47541015.013719209</v>
      </c>
      <c r="R234" s="375">
        <f t="shared" si="47"/>
        <v>47990769.658538587</v>
      </c>
      <c r="S234" s="375">
        <f t="shared" si="47"/>
        <v>52477035.832136497</v>
      </c>
      <c r="T234" s="375">
        <f t="shared" si="47"/>
        <v>65581466.884867474</v>
      </c>
      <c r="U234" s="376">
        <f t="shared" si="47"/>
        <v>87414864.761203408</v>
      </c>
      <c r="V234" s="385" t="e">
        <f>T234*#REF!</f>
        <v>#REF!</v>
      </c>
      <c r="W234" s="385" t="e">
        <f>U234*#REF!</f>
        <v>#REF!</v>
      </c>
    </row>
    <row r="235" spans="3:23" x14ac:dyDescent="0.35">
      <c r="C235" s="237" t="s">
        <v>565</v>
      </c>
      <c r="D235" s="588"/>
      <c r="E235" s="104"/>
      <c r="F235" s="239"/>
      <c r="I235" s="597">
        <f t="shared" si="46"/>
        <v>7679211.2076280629</v>
      </c>
      <c r="J235" s="375">
        <f t="shared" si="46"/>
        <v>8633014.1627299078</v>
      </c>
      <c r="K235" s="375">
        <f t="shared" si="46"/>
        <v>9309930.0243184865</v>
      </c>
      <c r="L235" s="375">
        <f t="shared" si="46"/>
        <v>8994392.9611053113</v>
      </c>
      <c r="M235" s="375">
        <f t="shared" si="46"/>
        <v>9711226.632365698</v>
      </c>
      <c r="N235" s="375">
        <f t="shared" si="46"/>
        <v>9777814.4793827496</v>
      </c>
      <c r="O235" s="375">
        <f t="shared" si="46"/>
        <v>9660829.5986674968</v>
      </c>
      <c r="P235" s="375">
        <f t="shared" si="46"/>
        <v>9934875.157221809</v>
      </c>
      <c r="Q235" s="375">
        <f t="shared" si="47"/>
        <v>10187360.360082686</v>
      </c>
      <c r="R235" s="375">
        <f t="shared" si="47"/>
        <v>10283736.355401125</v>
      </c>
      <c r="S235" s="375">
        <f t="shared" si="47"/>
        <v>11245079.106886391</v>
      </c>
      <c r="T235" s="375">
        <f t="shared" si="47"/>
        <v>14053171.475328742</v>
      </c>
      <c r="U235" s="376">
        <f t="shared" si="47"/>
        <v>18731756.734543588</v>
      </c>
    </row>
    <row r="236" spans="3:23" x14ac:dyDescent="0.35">
      <c r="C236" s="237" t="s">
        <v>567</v>
      </c>
      <c r="D236" s="588"/>
      <c r="E236" s="104"/>
      <c r="F236" s="239"/>
      <c r="I236" s="597">
        <f t="shared" si="46"/>
        <v>8959079.7422327418</v>
      </c>
      <c r="J236" s="375">
        <f t="shared" si="46"/>
        <v>10071849.856518228</v>
      </c>
      <c r="K236" s="375">
        <f t="shared" si="46"/>
        <v>10861585.028371571</v>
      </c>
      <c r="L236" s="375">
        <f t="shared" si="46"/>
        <v>10493458.454622865</v>
      </c>
      <c r="M236" s="375">
        <f t="shared" si="46"/>
        <v>11329764.404426649</v>
      </c>
      <c r="N236" s="375">
        <f t="shared" si="46"/>
        <v>11407450.225946542</v>
      </c>
      <c r="O236" s="375">
        <f t="shared" si="46"/>
        <v>11270967.865112081</v>
      </c>
      <c r="P236" s="375">
        <f t="shared" si="46"/>
        <v>11590687.683425447</v>
      </c>
      <c r="Q236" s="375">
        <f t="shared" si="47"/>
        <v>11885253.753429802</v>
      </c>
      <c r="R236" s="375">
        <f t="shared" si="47"/>
        <v>11997692.414634647</v>
      </c>
      <c r="S236" s="375">
        <f t="shared" si="47"/>
        <v>13119258.958034124</v>
      </c>
      <c r="T236" s="375">
        <f t="shared" si="47"/>
        <v>16395366.721216869</v>
      </c>
      <c r="U236" s="376">
        <f t="shared" si="47"/>
        <v>21853716.190300852</v>
      </c>
    </row>
    <row r="237" spans="3:23" x14ac:dyDescent="0.35">
      <c r="C237" s="237" t="s">
        <v>572</v>
      </c>
      <c r="D237" s="588"/>
      <c r="E237" s="104"/>
      <c r="F237" s="239"/>
      <c r="I237" s="597">
        <f t="shared" si="46"/>
        <v>2559737.0692093545</v>
      </c>
      <c r="J237" s="375">
        <f t="shared" si="46"/>
        <v>2877671.3875766359</v>
      </c>
      <c r="K237" s="375">
        <f t="shared" si="46"/>
        <v>3103310.0081061628</v>
      </c>
      <c r="L237" s="375">
        <f t="shared" si="46"/>
        <v>2998130.9870351041</v>
      </c>
      <c r="M237" s="375">
        <f t="shared" si="46"/>
        <v>3237075.5441218996</v>
      </c>
      <c r="N237" s="375">
        <f t="shared" si="46"/>
        <v>3259271.4931275835</v>
      </c>
      <c r="O237" s="375">
        <f t="shared" si="46"/>
        <v>3220276.5328891659</v>
      </c>
      <c r="P237" s="375">
        <f t="shared" si="46"/>
        <v>3311625.0524072703</v>
      </c>
      <c r="Q237" s="375">
        <f t="shared" si="47"/>
        <v>3395786.7866942286</v>
      </c>
      <c r="R237" s="375">
        <f t="shared" si="47"/>
        <v>3427912.1184670418</v>
      </c>
      <c r="S237" s="375">
        <f t="shared" si="47"/>
        <v>3748359.7022954635</v>
      </c>
      <c r="T237" s="375">
        <f t="shared" si="47"/>
        <v>4684390.4917762475</v>
      </c>
      <c r="U237" s="376">
        <f t="shared" si="47"/>
        <v>6243918.911514529</v>
      </c>
    </row>
    <row r="238" spans="3:23" x14ac:dyDescent="0.35">
      <c r="C238" s="586" t="s">
        <v>564</v>
      </c>
      <c r="D238" s="588"/>
      <c r="E238" s="104"/>
      <c r="F238" s="239"/>
      <c r="I238" s="598">
        <f t="shared" ref="I238:P238" si="48">I233*I197</f>
        <v>6925727.8871892653</v>
      </c>
      <c r="J238" s="373">
        <f t="shared" si="48"/>
        <v>7284531.1334022293</v>
      </c>
      <c r="K238" s="373">
        <f t="shared" si="48"/>
        <v>7001187.1223280709</v>
      </c>
      <c r="L238" s="373">
        <f t="shared" si="48"/>
        <v>3903248.8427695278</v>
      </c>
      <c r="M238" s="373">
        <f t="shared" si="48"/>
        <v>5589314.877501999</v>
      </c>
      <c r="N238" s="373">
        <f t="shared" si="48"/>
        <v>7879915.2054088246</v>
      </c>
      <c r="O238" s="373">
        <f t="shared" si="48"/>
        <v>9300553.2083470896</v>
      </c>
      <c r="P238" s="373">
        <f t="shared" si="48"/>
        <v>6624554.2536526322</v>
      </c>
      <c r="Q238" s="373">
        <f>Q233*Q197</f>
        <v>7525312.1996269748</v>
      </c>
      <c r="R238" s="373">
        <f t="shared" ref="R238:U238" si="49">R233*R197</f>
        <v>7299305.7931533875</v>
      </c>
      <c r="S238" s="373">
        <f t="shared" si="49"/>
        <v>7888372.1526848115</v>
      </c>
      <c r="T238" s="373">
        <f t="shared" si="49"/>
        <v>14723732.058590014</v>
      </c>
      <c r="U238" s="374">
        <f t="shared" si="49"/>
        <v>11386061.842399793</v>
      </c>
    </row>
    <row r="239" spans="3:23" x14ac:dyDescent="0.35">
      <c r="C239" s="586" t="s">
        <v>228</v>
      </c>
      <c r="D239" s="588"/>
      <c r="E239" s="104"/>
      <c r="F239" s="239"/>
      <c r="I239" s="598">
        <f t="shared" ref="I239:P242" si="50">I234*I198</f>
        <v>35836318.968930967</v>
      </c>
      <c r="J239" s="373">
        <f t="shared" si="50"/>
        <v>40287399.42607291</v>
      </c>
      <c r="K239" s="373">
        <f t="shared" si="50"/>
        <v>43446340.113486283</v>
      </c>
      <c r="L239" s="373">
        <f t="shared" si="50"/>
        <v>41973833.818491459</v>
      </c>
      <c r="M239" s="373">
        <f t="shared" si="50"/>
        <v>45309415.265021972</v>
      </c>
      <c r="N239" s="373">
        <f t="shared" si="50"/>
        <v>45611138.408528998</v>
      </c>
      <c r="O239" s="373">
        <f t="shared" si="50"/>
        <v>45047876.353493877</v>
      </c>
      <c r="P239" s="373">
        <f t="shared" si="50"/>
        <v>46296382.787866227</v>
      </c>
      <c r="Q239" s="373">
        <f>Q234*Q198</f>
        <v>47425996.429008596</v>
      </c>
      <c r="R239" s="373">
        <f t="shared" ref="Q239:U242" si="51">R234*R198</f>
        <v>47773527.491360016</v>
      </c>
      <c r="S239" s="373">
        <f t="shared" si="51"/>
        <v>51996926.780906305</v>
      </c>
      <c r="T239" s="373">
        <f t="shared" si="51"/>
        <v>64606795.402502142</v>
      </c>
      <c r="U239" s="374">
        <f t="shared" si="51"/>
        <v>85507250.206462502</v>
      </c>
    </row>
    <row r="240" spans="3:23" x14ac:dyDescent="0.35">
      <c r="C240" s="586" t="s">
        <v>565</v>
      </c>
      <c r="D240" s="588"/>
      <c r="E240" s="104"/>
      <c r="F240" s="239"/>
      <c r="I240" s="598">
        <f t="shared" si="50"/>
        <v>7679211.2076280629</v>
      </c>
      <c r="J240" s="373">
        <f t="shared" si="50"/>
        <v>8633014.1627299078</v>
      </c>
      <c r="K240" s="373">
        <f t="shared" si="50"/>
        <v>9309930.0243184865</v>
      </c>
      <c r="L240" s="373">
        <f t="shared" si="50"/>
        <v>8994392.9611053113</v>
      </c>
      <c r="M240" s="373">
        <f t="shared" si="50"/>
        <v>9711226.632365698</v>
      </c>
      <c r="N240" s="373">
        <f t="shared" si="50"/>
        <v>9777814.4793827496</v>
      </c>
      <c r="O240" s="373">
        <f t="shared" si="50"/>
        <v>9660829.5986674968</v>
      </c>
      <c r="P240" s="373">
        <f t="shared" si="50"/>
        <v>9934875.157221809</v>
      </c>
      <c r="Q240" s="373">
        <f t="shared" si="51"/>
        <v>10187360.360082686</v>
      </c>
      <c r="R240" s="373">
        <f t="shared" si="51"/>
        <v>10283736.355401125</v>
      </c>
      <c r="S240" s="373">
        <f t="shared" si="51"/>
        <v>11245079.106886391</v>
      </c>
      <c r="T240" s="373">
        <f t="shared" si="51"/>
        <v>14053171.475328742</v>
      </c>
      <c r="U240" s="374">
        <f t="shared" si="51"/>
        <v>18731756.734543588</v>
      </c>
    </row>
    <row r="241" spans="3:23" x14ac:dyDescent="0.35">
      <c r="C241" s="586" t="s">
        <v>567</v>
      </c>
      <c r="D241" s="588"/>
      <c r="E241" s="104"/>
      <c r="F241" s="239"/>
      <c r="I241" s="598">
        <f t="shared" si="50"/>
        <v>6089685.97019557</v>
      </c>
      <c r="J241" s="373">
        <f t="shared" si="50"/>
        <v>6674763.833665885</v>
      </c>
      <c r="K241" s="373">
        <f t="shared" si="50"/>
        <v>7127004.1392149413</v>
      </c>
      <c r="L241" s="373">
        <f t="shared" si="50"/>
        <v>5559440.5026995791</v>
      </c>
      <c r="M241" s="373">
        <f t="shared" si="50"/>
        <v>5825333.2998031797</v>
      </c>
      <c r="N241" s="373">
        <f t="shared" si="50"/>
        <v>5481487.4152434068</v>
      </c>
      <c r="O241" s="373">
        <f t="shared" si="50"/>
        <v>5052815.3903503707</v>
      </c>
      <c r="P241" s="373">
        <f t="shared" si="50"/>
        <v>5193665.4604867417</v>
      </c>
      <c r="Q241" s="373">
        <f t="shared" si="51"/>
        <v>5032326.4034255771</v>
      </c>
      <c r="R241" s="373">
        <f t="shared" si="51"/>
        <v>5028538.2539392496</v>
      </c>
      <c r="S241" s="373">
        <f t="shared" si="51"/>
        <v>5376724.5409642076</v>
      </c>
      <c r="T241" s="373">
        <f t="shared" si="51"/>
        <v>5957481.9258144004</v>
      </c>
      <c r="U241" s="374">
        <f t="shared" si="51"/>
        <v>8175522.3164956551</v>
      </c>
    </row>
    <row r="242" spans="3:23" x14ac:dyDescent="0.35">
      <c r="C242" s="586" t="s">
        <v>572</v>
      </c>
      <c r="D242" s="588"/>
      <c r="E242" s="104"/>
      <c r="F242" s="239"/>
      <c r="I242" s="598">
        <f t="shared" si="50"/>
        <v>2559737.0692093545</v>
      </c>
      <c r="J242" s="373">
        <f t="shared" si="50"/>
        <v>2877671.3875766359</v>
      </c>
      <c r="K242" s="373">
        <f t="shared" si="50"/>
        <v>3103310.0081061628</v>
      </c>
      <c r="L242" s="373">
        <f t="shared" si="50"/>
        <v>2998130.9870351041</v>
      </c>
      <c r="M242" s="373">
        <f t="shared" si="50"/>
        <v>3237075.5441218996</v>
      </c>
      <c r="N242" s="373">
        <f t="shared" si="50"/>
        <v>3259271.4931275835</v>
      </c>
      <c r="O242" s="373">
        <f t="shared" si="50"/>
        <v>3220276.5328891659</v>
      </c>
      <c r="P242" s="373">
        <f t="shared" si="50"/>
        <v>3311625.0524072703</v>
      </c>
      <c r="Q242" s="373">
        <f t="shared" si="51"/>
        <v>3395786.7866942286</v>
      </c>
      <c r="R242" s="373">
        <f t="shared" si="51"/>
        <v>3427912.1184670418</v>
      </c>
      <c r="S242" s="373">
        <f t="shared" si="51"/>
        <v>3748359.7022954635</v>
      </c>
      <c r="T242" s="373">
        <f t="shared" si="51"/>
        <v>4684390.4917762475</v>
      </c>
      <c r="U242" s="374">
        <f t="shared" si="51"/>
        <v>6243918.911514529</v>
      </c>
    </row>
    <row r="243" spans="3:23" x14ac:dyDescent="0.35">
      <c r="C243" s="586" t="s">
        <v>277</v>
      </c>
      <c r="D243" s="588"/>
      <c r="E243" s="104"/>
      <c r="F243" s="239"/>
      <c r="I243" s="599">
        <f t="shared" ref="I243:P243" si="52">SUM(I238:I242)</f>
        <v>59090681.103153214</v>
      </c>
      <c r="J243" s="434">
        <f t="shared" si="52"/>
        <v>65757379.94344756</v>
      </c>
      <c r="K243" s="434">
        <f t="shared" si="52"/>
        <v>69987771.407453939</v>
      </c>
      <c r="L243" s="434">
        <f t="shared" si="52"/>
        <v>63429047.112100974</v>
      </c>
      <c r="M243" s="434">
        <f t="shared" si="52"/>
        <v>69672365.618814752</v>
      </c>
      <c r="N243" s="434">
        <f t="shared" si="52"/>
        <v>72009627.001691565</v>
      </c>
      <c r="O243" s="434">
        <f t="shared" si="52"/>
        <v>72282351.083747998</v>
      </c>
      <c r="P243" s="434">
        <f t="shared" si="52"/>
        <v>71361102.711634681</v>
      </c>
      <c r="Q243" s="434">
        <f>SUM(Q238:Q242)</f>
        <v>73566782.178838059</v>
      </c>
      <c r="R243" s="434">
        <f t="shared" ref="R243:U243" si="53">SUM(R238:R242)</f>
        <v>73813020.012320831</v>
      </c>
      <c r="S243" s="434">
        <f t="shared" si="53"/>
        <v>80255462.283737168</v>
      </c>
      <c r="T243" s="434">
        <f t="shared" si="53"/>
        <v>104025571.35401155</v>
      </c>
      <c r="U243" s="500">
        <f t="shared" si="53"/>
        <v>130044510.01141608</v>
      </c>
    </row>
    <row r="244" spans="3:23" x14ac:dyDescent="0.35">
      <c r="C244" s="561" t="s">
        <v>486</v>
      </c>
      <c r="D244" s="555"/>
      <c r="E244" s="555"/>
      <c r="F244" s="606"/>
      <c r="I244" s="464"/>
      <c r="J244" s="555"/>
      <c r="K244" s="555"/>
      <c r="L244" s="555"/>
      <c r="M244" s="555"/>
      <c r="N244" s="555"/>
      <c r="O244" s="555"/>
      <c r="P244" s="555"/>
      <c r="Q244" s="556"/>
      <c r="R244" s="556"/>
      <c r="S244" s="556"/>
      <c r="T244" s="556"/>
      <c r="U244" s="377"/>
    </row>
    <row r="245" spans="3:23" x14ac:dyDescent="0.35">
      <c r="C245" s="587" t="s">
        <v>480</v>
      </c>
      <c r="D245" s="589"/>
      <c r="E245" s="104"/>
      <c r="F245" s="239"/>
      <c r="I245" s="596">
        <f>I66</f>
        <v>111348156.12346938</v>
      </c>
      <c r="J245" s="382">
        <f t="shared" ref="J245:U245" si="54">J66</f>
        <v>121148830.85498025</v>
      </c>
      <c r="K245" s="382">
        <f t="shared" si="54"/>
        <v>135889078.3883563</v>
      </c>
      <c r="L245" s="382">
        <f t="shared" si="54"/>
        <v>124014934.06185867</v>
      </c>
      <c r="M245" s="382">
        <f t="shared" si="54"/>
        <v>129226814.65486352</v>
      </c>
      <c r="N245" s="382">
        <f t="shared" si="54"/>
        <v>135823816.66111872</v>
      </c>
      <c r="O245" s="382">
        <f t="shared" si="54"/>
        <v>152433793.00793076</v>
      </c>
      <c r="P245" s="382">
        <f t="shared" si="54"/>
        <v>159332405.77378345</v>
      </c>
      <c r="Q245" s="382">
        <f t="shared" si="54"/>
        <v>165225748.80632997</v>
      </c>
      <c r="R245" s="382">
        <f t="shared" si="54"/>
        <v>156406154.55137894</v>
      </c>
      <c r="S245" s="382">
        <f t="shared" si="54"/>
        <v>166645292.96055841</v>
      </c>
      <c r="T245" s="382">
        <f t="shared" si="54"/>
        <v>225840724.85632241</v>
      </c>
      <c r="U245" s="501">
        <f t="shared" si="54"/>
        <v>347044952.84827149</v>
      </c>
    </row>
    <row r="246" spans="3:23" x14ac:dyDescent="0.35">
      <c r="C246" s="237" t="s">
        <v>564</v>
      </c>
      <c r="D246" s="589"/>
      <c r="E246" s="104"/>
      <c r="F246" s="239"/>
      <c r="I246" s="597">
        <f t="shared" ref="I246:P250" si="55">I$245*$D197</f>
        <v>63468448.990377545</v>
      </c>
      <c r="J246" s="375">
        <f t="shared" si="55"/>
        <v>69054833.587338731</v>
      </c>
      <c r="K246" s="375">
        <f t="shared" si="55"/>
        <v>77456774.681363076</v>
      </c>
      <c r="L246" s="375">
        <f t="shared" si="55"/>
        <v>70688512.415259436</v>
      </c>
      <c r="M246" s="375">
        <f t="shared" si="55"/>
        <v>73659284.3532722</v>
      </c>
      <c r="N246" s="375">
        <f t="shared" si="55"/>
        <v>77419575.496837661</v>
      </c>
      <c r="O246" s="375">
        <f t="shared" si="55"/>
        <v>86887262.014520526</v>
      </c>
      <c r="P246" s="375">
        <f t="shared" si="55"/>
        <v>90819471.291056558</v>
      </c>
      <c r="Q246" s="375">
        <f t="shared" ref="Q246:U250" si="56">Q$245*$D197</f>
        <v>94178676.819608077</v>
      </c>
      <c r="R246" s="375">
        <f t="shared" si="56"/>
        <v>89151508.09428598</v>
      </c>
      <c r="S246" s="375">
        <f t="shared" si="56"/>
        <v>94987816.987518281</v>
      </c>
      <c r="T246" s="375">
        <f t="shared" si="56"/>
        <v>128729213.16810375</v>
      </c>
      <c r="U246" s="376">
        <f t="shared" si="56"/>
        <v>197815623.12351474</v>
      </c>
    </row>
    <row r="247" spans="3:23" x14ac:dyDescent="0.35">
      <c r="C247" s="237" t="s">
        <v>228</v>
      </c>
      <c r="D247" s="588"/>
      <c r="E247" s="104"/>
      <c r="F247" s="239"/>
      <c r="I247" s="597">
        <f t="shared" si="55"/>
        <v>31177483.714571431</v>
      </c>
      <c r="J247" s="375">
        <f t="shared" si="55"/>
        <v>33921672.63939447</v>
      </c>
      <c r="K247" s="375">
        <f t="shared" si="55"/>
        <v>38048941.948739767</v>
      </c>
      <c r="L247" s="375">
        <f t="shared" si="55"/>
        <v>34724181.537320428</v>
      </c>
      <c r="M247" s="375">
        <f t="shared" si="55"/>
        <v>36183508.103361793</v>
      </c>
      <c r="N247" s="375">
        <f t="shared" si="55"/>
        <v>38030668.66511324</v>
      </c>
      <c r="O247" s="375">
        <f t="shared" si="55"/>
        <v>42681462.042220615</v>
      </c>
      <c r="P247" s="375">
        <f t="shared" si="55"/>
        <v>44613073.616659366</v>
      </c>
      <c r="Q247" s="375">
        <f t="shared" si="56"/>
        <v>46263209.665772393</v>
      </c>
      <c r="R247" s="375">
        <f t="shared" si="56"/>
        <v>43793723.274386108</v>
      </c>
      <c r="S247" s="375">
        <f t="shared" si="56"/>
        <v>46660682.028956361</v>
      </c>
      <c r="T247" s="375">
        <f t="shared" si="56"/>
        <v>63235402.959770277</v>
      </c>
      <c r="U247" s="376">
        <f t="shared" si="56"/>
        <v>97172586.797516033</v>
      </c>
      <c r="V247" s="385" t="e">
        <f>T247*#REF!</f>
        <v>#REF!</v>
      </c>
      <c r="W247" s="385" t="e">
        <f>U247*#REF!</f>
        <v>#REF!</v>
      </c>
    </row>
    <row r="248" spans="3:23" x14ac:dyDescent="0.35">
      <c r="C248" s="237" t="s">
        <v>565</v>
      </c>
      <c r="D248" s="588"/>
      <c r="E248" s="104"/>
      <c r="F248" s="239"/>
      <c r="I248" s="597">
        <f t="shared" si="55"/>
        <v>6680889.3674081629</v>
      </c>
      <c r="J248" s="375">
        <f t="shared" si="55"/>
        <v>7268929.8512988146</v>
      </c>
      <c r="K248" s="375">
        <f t="shared" si="55"/>
        <v>8153344.7033013776</v>
      </c>
      <c r="L248" s="375">
        <f t="shared" si="55"/>
        <v>7440896.0437115198</v>
      </c>
      <c r="M248" s="375">
        <f t="shared" si="55"/>
        <v>7753608.879291811</v>
      </c>
      <c r="N248" s="375">
        <f t="shared" si="55"/>
        <v>8149428.999667123</v>
      </c>
      <c r="O248" s="375">
        <f t="shared" si="55"/>
        <v>9146027.5804758444</v>
      </c>
      <c r="P248" s="375">
        <f t="shared" si="55"/>
        <v>9559944.3464270066</v>
      </c>
      <c r="Q248" s="375">
        <f t="shared" si="56"/>
        <v>9913544.9283797983</v>
      </c>
      <c r="R248" s="375">
        <f t="shared" si="56"/>
        <v>9384369.273082735</v>
      </c>
      <c r="S248" s="375">
        <f t="shared" si="56"/>
        <v>9998717.5776335038</v>
      </c>
      <c r="T248" s="375">
        <f t="shared" si="56"/>
        <v>13550443.491379345</v>
      </c>
      <c r="U248" s="376">
        <f t="shared" si="56"/>
        <v>20822697.170896288</v>
      </c>
    </row>
    <row r="249" spans="3:23" x14ac:dyDescent="0.35">
      <c r="C249" s="237" t="s">
        <v>567</v>
      </c>
      <c r="D249" s="588"/>
      <c r="E249" s="104"/>
      <c r="F249" s="239"/>
      <c r="I249" s="597">
        <f t="shared" si="55"/>
        <v>7794370.9286428578</v>
      </c>
      <c r="J249" s="375">
        <f t="shared" si="55"/>
        <v>8480418.1598486174</v>
      </c>
      <c r="K249" s="375">
        <f t="shared" si="55"/>
        <v>9512235.4871849418</v>
      </c>
      <c r="L249" s="375">
        <f t="shared" si="55"/>
        <v>8681045.3843301069</v>
      </c>
      <c r="M249" s="375">
        <f t="shared" si="55"/>
        <v>9045877.0258404482</v>
      </c>
      <c r="N249" s="375">
        <f t="shared" si="55"/>
        <v>9507667.1662783101</v>
      </c>
      <c r="O249" s="375">
        <f t="shared" si="55"/>
        <v>10670365.510555154</v>
      </c>
      <c r="P249" s="375">
        <f t="shared" si="55"/>
        <v>11153268.404164841</v>
      </c>
      <c r="Q249" s="375">
        <f t="shared" si="56"/>
        <v>11565802.416443098</v>
      </c>
      <c r="R249" s="375">
        <f t="shared" si="56"/>
        <v>10948430.818596527</v>
      </c>
      <c r="S249" s="375">
        <f t="shared" si="56"/>
        <v>11665170.50723909</v>
      </c>
      <c r="T249" s="375">
        <f t="shared" si="56"/>
        <v>15808850.739942569</v>
      </c>
      <c r="U249" s="376">
        <f t="shared" si="56"/>
        <v>24293146.699379008</v>
      </c>
    </row>
    <row r="250" spans="3:23" x14ac:dyDescent="0.35">
      <c r="C250" s="237" t="s">
        <v>572</v>
      </c>
      <c r="D250" s="588"/>
      <c r="E250" s="104"/>
      <c r="F250" s="239"/>
      <c r="I250" s="597">
        <f t="shared" si="55"/>
        <v>2226963.1224693875</v>
      </c>
      <c r="J250" s="375">
        <f t="shared" si="55"/>
        <v>2422976.617099605</v>
      </c>
      <c r="K250" s="375">
        <f t="shared" si="55"/>
        <v>2717781.567767126</v>
      </c>
      <c r="L250" s="375">
        <f t="shared" si="55"/>
        <v>2480298.6812371733</v>
      </c>
      <c r="M250" s="375">
        <f t="shared" si="55"/>
        <v>2584536.2930972707</v>
      </c>
      <c r="N250" s="375">
        <f t="shared" si="55"/>
        <v>2716476.3332223743</v>
      </c>
      <c r="O250" s="375">
        <f t="shared" si="55"/>
        <v>3048675.8601586153</v>
      </c>
      <c r="P250" s="375">
        <f t="shared" si="55"/>
        <v>3186648.115475669</v>
      </c>
      <c r="Q250" s="375">
        <f t="shared" si="56"/>
        <v>3304514.9761265996</v>
      </c>
      <c r="R250" s="375">
        <f t="shared" si="56"/>
        <v>3128123.0910275788</v>
      </c>
      <c r="S250" s="375">
        <f t="shared" si="56"/>
        <v>3332905.8592111683</v>
      </c>
      <c r="T250" s="375">
        <f t="shared" si="56"/>
        <v>4516814.497126448</v>
      </c>
      <c r="U250" s="376">
        <f t="shared" si="56"/>
        <v>6940899.0569654303</v>
      </c>
    </row>
    <row r="251" spans="3:23" x14ac:dyDescent="0.35">
      <c r="C251" s="586" t="s">
        <v>564</v>
      </c>
      <c r="D251" s="588"/>
      <c r="E251" s="104"/>
      <c r="F251" s="239"/>
      <c r="I251" s="598">
        <f t="shared" ref="I251:P251" si="57">I246*I197</f>
        <v>6025361.27110596</v>
      </c>
      <c r="J251" s="373">
        <f t="shared" si="57"/>
        <v>6133517.7737689596</v>
      </c>
      <c r="K251" s="373">
        <f t="shared" si="57"/>
        <v>6131420.0849575158</v>
      </c>
      <c r="L251" s="373">
        <f t="shared" si="57"/>
        <v>3229086.053653609</v>
      </c>
      <c r="M251" s="373">
        <f t="shared" si="57"/>
        <v>4462604.2727622092</v>
      </c>
      <c r="N251" s="373">
        <f t="shared" si="57"/>
        <v>6567603.5913017699</v>
      </c>
      <c r="O251" s="373">
        <f t="shared" si="57"/>
        <v>8804949.4392239582</v>
      </c>
      <c r="P251" s="373">
        <f t="shared" si="57"/>
        <v>6374551.1627058201</v>
      </c>
      <c r="Q251" s="373">
        <f>Q246*Q197</f>
        <v>7323047.1833904097</v>
      </c>
      <c r="R251" s="373">
        <f t="shared" ref="R251:U251" si="58">R246*R197</f>
        <v>6660942.932879339</v>
      </c>
      <c r="S251" s="373">
        <f t="shared" si="58"/>
        <v>7014055.1749131531</v>
      </c>
      <c r="T251" s="373">
        <f t="shared" si="58"/>
        <v>14197015.925721299</v>
      </c>
      <c r="U251" s="374">
        <f t="shared" si="58"/>
        <v>12657035.913570721</v>
      </c>
    </row>
    <row r="252" spans="3:23" x14ac:dyDescent="0.35">
      <c r="C252" s="586" t="s">
        <v>228</v>
      </c>
      <c r="D252" s="588"/>
      <c r="E252" s="104"/>
      <c r="F252" s="239"/>
      <c r="I252" s="598">
        <f t="shared" ref="I252:P255" si="59">I247*I198</f>
        <v>31177483.714571431</v>
      </c>
      <c r="J252" s="373">
        <f t="shared" si="59"/>
        <v>33921672.63939447</v>
      </c>
      <c r="K252" s="373">
        <f t="shared" si="59"/>
        <v>38048941.948739767</v>
      </c>
      <c r="L252" s="373">
        <f t="shared" si="59"/>
        <v>34724181.537320428</v>
      </c>
      <c r="M252" s="373">
        <f t="shared" si="59"/>
        <v>36175809.484616391</v>
      </c>
      <c r="N252" s="373">
        <f t="shared" si="59"/>
        <v>38015114.199401543</v>
      </c>
      <c r="O252" s="373">
        <f t="shared" si="59"/>
        <v>42647385.026618049</v>
      </c>
      <c r="P252" s="373">
        <f t="shared" si="59"/>
        <v>44549210.321093597</v>
      </c>
      <c r="Q252" s="373">
        <f>Q247*Q198</f>
        <v>46151282.545613267</v>
      </c>
      <c r="R252" s="373">
        <f t="shared" ref="Q252:U255" si="60">R247*R198</f>
        <v>43595480.08260905</v>
      </c>
      <c r="S252" s="373">
        <f t="shared" si="60"/>
        <v>46233786.427414842</v>
      </c>
      <c r="T252" s="373">
        <f t="shared" si="60"/>
        <v>62295598.669497684</v>
      </c>
      <c r="U252" s="374">
        <f t="shared" si="60"/>
        <v>95052033.944140971</v>
      </c>
    </row>
    <row r="253" spans="3:23" x14ac:dyDescent="0.35">
      <c r="C253" s="586" t="s">
        <v>565</v>
      </c>
      <c r="D253" s="588"/>
      <c r="E253" s="104"/>
      <c r="F253" s="239"/>
      <c r="I253" s="598">
        <f t="shared" si="59"/>
        <v>6680889.3674081629</v>
      </c>
      <c r="J253" s="373">
        <f t="shared" si="59"/>
        <v>7268929.8512988146</v>
      </c>
      <c r="K253" s="373">
        <f t="shared" si="59"/>
        <v>8153344.7033013776</v>
      </c>
      <c r="L253" s="373">
        <f t="shared" si="59"/>
        <v>7440896.0437115198</v>
      </c>
      <c r="M253" s="373">
        <f t="shared" si="59"/>
        <v>7753608.879291811</v>
      </c>
      <c r="N253" s="373">
        <f t="shared" si="59"/>
        <v>8149428.999667123</v>
      </c>
      <c r="O253" s="373">
        <f t="shared" si="59"/>
        <v>9146027.5804758444</v>
      </c>
      <c r="P253" s="373">
        <f t="shared" si="59"/>
        <v>9559944.3464270066</v>
      </c>
      <c r="Q253" s="373">
        <f t="shared" si="60"/>
        <v>9913544.9283797983</v>
      </c>
      <c r="R253" s="373">
        <f t="shared" si="60"/>
        <v>9384369.273082735</v>
      </c>
      <c r="S253" s="373">
        <f t="shared" si="60"/>
        <v>9998717.5776335038</v>
      </c>
      <c r="T253" s="373">
        <f t="shared" si="60"/>
        <v>13550443.491379345</v>
      </c>
      <c r="U253" s="374">
        <f t="shared" si="60"/>
        <v>20822697.170896288</v>
      </c>
    </row>
    <row r="254" spans="3:23" x14ac:dyDescent="0.35">
      <c r="C254" s="586" t="s">
        <v>567</v>
      </c>
      <c r="D254" s="588"/>
      <c r="E254" s="104"/>
      <c r="F254" s="239"/>
      <c r="I254" s="598">
        <f t="shared" si="59"/>
        <v>5298007.4579431694</v>
      </c>
      <c r="J254" s="373">
        <f t="shared" si="59"/>
        <v>5620098.5155758513</v>
      </c>
      <c r="K254" s="373">
        <f t="shared" si="59"/>
        <v>6241606.6820146553</v>
      </c>
      <c r="L254" s="373">
        <f t="shared" si="59"/>
        <v>4599222.9848831622</v>
      </c>
      <c r="M254" s="373">
        <f t="shared" si="59"/>
        <v>4651045.4042596295</v>
      </c>
      <c r="N254" s="373">
        <f t="shared" si="59"/>
        <v>4568607.0846698014</v>
      </c>
      <c r="O254" s="373">
        <f t="shared" si="59"/>
        <v>4783563.1968471343</v>
      </c>
      <c r="P254" s="373">
        <f t="shared" si="59"/>
        <v>4997662.4739085184</v>
      </c>
      <c r="Q254" s="373">
        <f t="shared" si="60"/>
        <v>4897067.7517317608</v>
      </c>
      <c r="R254" s="373">
        <f t="shared" si="60"/>
        <v>4588766.0134348068</v>
      </c>
      <c r="S254" s="373">
        <f t="shared" si="60"/>
        <v>4780788.9714986421</v>
      </c>
      <c r="T254" s="373">
        <f t="shared" si="60"/>
        <v>5744363.2797324425</v>
      </c>
      <c r="U254" s="374">
        <f t="shared" si="60"/>
        <v>9088118.5263503529</v>
      </c>
    </row>
    <row r="255" spans="3:23" x14ac:dyDescent="0.35">
      <c r="C255" s="586" t="s">
        <v>572</v>
      </c>
      <c r="D255" s="588"/>
      <c r="E255" s="104"/>
      <c r="F255" s="239"/>
      <c r="I255" s="598">
        <f t="shared" si="59"/>
        <v>2226963.1224693875</v>
      </c>
      <c r="J255" s="373">
        <f t="shared" si="59"/>
        <v>2422976.617099605</v>
      </c>
      <c r="K255" s="373">
        <f t="shared" si="59"/>
        <v>2717781.567767126</v>
      </c>
      <c r="L255" s="373">
        <f t="shared" si="59"/>
        <v>2480298.6812371733</v>
      </c>
      <c r="M255" s="373">
        <f t="shared" si="59"/>
        <v>2584536.2930972707</v>
      </c>
      <c r="N255" s="373">
        <f t="shared" si="59"/>
        <v>2716476.3332223743</v>
      </c>
      <c r="O255" s="373">
        <f t="shared" si="59"/>
        <v>3048675.8601586153</v>
      </c>
      <c r="P255" s="373">
        <f t="shared" si="59"/>
        <v>3186648.115475669</v>
      </c>
      <c r="Q255" s="373">
        <f t="shared" si="60"/>
        <v>3304514.9761265996</v>
      </c>
      <c r="R255" s="373">
        <f t="shared" si="60"/>
        <v>3128123.0910275788</v>
      </c>
      <c r="S255" s="373">
        <f t="shared" si="60"/>
        <v>3332905.8592111683</v>
      </c>
      <c r="T255" s="373">
        <f t="shared" si="60"/>
        <v>4516814.497126448</v>
      </c>
      <c r="U255" s="374">
        <f t="shared" si="60"/>
        <v>6940899.0569654303</v>
      </c>
    </row>
    <row r="256" spans="3:23" x14ac:dyDescent="0.35">
      <c r="C256" s="586" t="s">
        <v>277</v>
      </c>
      <c r="D256" s="588"/>
      <c r="E256" s="104"/>
      <c r="F256" s="239"/>
      <c r="I256" s="599">
        <f t="shared" ref="I256:P256" si="61">SUM(I251:I255)</f>
        <v>51408704.933498114</v>
      </c>
      <c r="J256" s="434">
        <f t="shared" si="61"/>
        <v>55367195.397137702</v>
      </c>
      <c r="K256" s="434">
        <f t="shared" si="61"/>
        <v>61293094.98678045</v>
      </c>
      <c r="L256" s="434">
        <f t="shared" si="61"/>
        <v>52473685.300805889</v>
      </c>
      <c r="M256" s="434">
        <f t="shared" si="61"/>
        <v>55627604.334027313</v>
      </c>
      <c r="N256" s="434">
        <f t="shared" si="61"/>
        <v>60017230.208262607</v>
      </c>
      <c r="O256" s="434">
        <f t="shared" si="61"/>
        <v>68430601.103323609</v>
      </c>
      <c r="P256" s="434">
        <f t="shared" si="61"/>
        <v>68668016.419610605</v>
      </c>
      <c r="Q256" s="434">
        <f>SUM(Q251:Q255)</f>
        <v>71589457.385241821</v>
      </c>
      <c r="R256" s="434">
        <f t="shared" ref="R256:U256" si="62">SUM(R251:R255)</f>
        <v>67357681.393033504</v>
      </c>
      <c r="S256" s="434">
        <f t="shared" si="62"/>
        <v>71360254.010671303</v>
      </c>
      <c r="T256" s="434">
        <f t="shared" si="62"/>
        <v>100304235.86345722</v>
      </c>
      <c r="U256" s="500">
        <f t="shared" si="62"/>
        <v>144560784.61192378</v>
      </c>
    </row>
    <row r="257" spans="1:23" x14ac:dyDescent="0.35">
      <c r="C257" s="561" t="s">
        <v>487</v>
      </c>
      <c r="D257" s="555"/>
      <c r="E257" s="555"/>
      <c r="F257" s="606"/>
      <c r="I257" s="464"/>
      <c r="J257" s="555"/>
      <c r="K257" s="555"/>
      <c r="L257" s="555"/>
      <c r="M257" s="555"/>
      <c r="N257" s="555"/>
      <c r="O257" s="555"/>
      <c r="P257" s="555"/>
      <c r="Q257" s="556"/>
      <c r="R257" s="556"/>
      <c r="S257" s="556"/>
      <c r="T257" s="556"/>
      <c r="U257" s="377"/>
    </row>
    <row r="258" spans="1:23" x14ac:dyDescent="0.35">
      <c r="C258" s="587" t="s">
        <v>480</v>
      </c>
      <c r="D258" s="588"/>
      <c r="E258" s="104"/>
      <c r="F258" s="239"/>
      <c r="I258" s="596">
        <f>I75</f>
        <v>9827150.3238000013</v>
      </c>
      <c r="J258" s="382">
        <f t="shared" ref="J258:U258" si="63">J75</f>
        <v>10139001.789800001</v>
      </c>
      <c r="K258" s="382">
        <f t="shared" si="63"/>
        <v>16613377.991999997</v>
      </c>
      <c r="L258" s="382">
        <f t="shared" si="63"/>
        <v>22171613.799800001</v>
      </c>
      <c r="M258" s="382">
        <f t="shared" si="63"/>
        <v>34171136.014200009</v>
      </c>
      <c r="N258" s="382">
        <f t="shared" si="63"/>
        <v>61831638.815799989</v>
      </c>
      <c r="O258" s="382">
        <f t="shared" si="63"/>
        <v>63297149.682399981</v>
      </c>
      <c r="P258" s="382">
        <f t="shared" si="63"/>
        <v>69238723.198399991</v>
      </c>
      <c r="Q258" s="382">
        <f t="shared" si="63"/>
        <v>74440206.900599986</v>
      </c>
      <c r="R258" s="382">
        <f t="shared" si="63"/>
        <v>72416521.589399979</v>
      </c>
      <c r="S258" s="382">
        <f t="shared" si="63"/>
        <v>76654226.368599981</v>
      </c>
      <c r="T258" s="382">
        <f t="shared" si="63"/>
        <v>86279940.685599998</v>
      </c>
      <c r="U258" s="501">
        <f t="shared" si="63"/>
        <v>155732432.76779997</v>
      </c>
    </row>
    <row r="259" spans="1:23" x14ac:dyDescent="0.35">
      <c r="C259" s="237" t="s">
        <v>564</v>
      </c>
      <c r="D259" s="588"/>
      <c r="E259" s="104"/>
      <c r="F259" s="239"/>
      <c r="I259" s="597">
        <f t="shared" ref="I259:P263" si="64">I$258*$D197</f>
        <v>5601475.6845660005</v>
      </c>
      <c r="J259" s="375">
        <f t="shared" si="64"/>
        <v>5779231.0201860005</v>
      </c>
      <c r="K259" s="375">
        <f t="shared" si="64"/>
        <v>9469625.4554399978</v>
      </c>
      <c r="L259" s="375">
        <f t="shared" si="64"/>
        <v>12637819.865885999</v>
      </c>
      <c r="M259" s="375">
        <f t="shared" si="64"/>
        <v>19477547.528094005</v>
      </c>
      <c r="N259" s="375">
        <f t="shared" si="64"/>
        <v>35244034.12500599</v>
      </c>
      <c r="O259" s="375">
        <f t="shared" si="64"/>
        <v>36079375.318967983</v>
      </c>
      <c r="P259" s="375">
        <f t="shared" si="64"/>
        <v>39466072.223087989</v>
      </c>
      <c r="Q259" s="375">
        <f t="shared" ref="Q259:U263" si="65">Q$258*$D197</f>
        <v>42430917.933341987</v>
      </c>
      <c r="R259" s="375">
        <f t="shared" si="65"/>
        <v>41277417.305957988</v>
      </c>
      <c r="S259" s="375">
        <f t="shared" si="65"/>
        <v>43692909.030101985</v>
      </c>
      <c r="T259" s="375">
        <f t="shared" si="65"/>
        <v>49179566.190791994</v>
      </c>
      <c r="U259" s="376">
        <f t="shared" si="65"/>
        <v>88767486.677645981</v>
      </c>
    </row>
    <row r="260" spans="1:23" x14ac:dyDescent="0.35">
      <c r="C260" s="237" t="s">
        <v>228</v>
      </c>
      <c r="D260" s="588"/>
      <c r="E260" s="104"/>
      <c r="F260" s="239"/>
      <c r="I260" s="597">
        <f t="shared" si="64"/>
        <v>2751602.0906640007</v>
      </c>
      <c r="J260" s="375">
        <f t="shared" si="64"/>
        <v>2838920.5011440008</v>
      </c>
      <c r="K260" s="375">
        <f t="shared" si="64"/>
        <v>4651745.8377599996</v>
      </c>
      <c r="L260" s="375">
        <f t="shared" si="64"/>
        <v>6208051.8639440006</v>
      </c>
      <c r="M260" s="375">
        <f t="shared" si="64"/>
        <v>9567918.0839760043</v>
      </c>
      <c r="N260" s="375">
        <f t="shared" si="64"/>
        <v>17312858.868423998</v>
      </c>
      <c r="O260" s="375">
        <f t="shared" si="64"/>
        <v>17723201.911071997</v>
      </c>
      <c r="P260" s="375">
        <f t="shared" si="64"/>
        <v>19386842.495552</v>
      </c>
      <c r="Q260" s="375">
        <f t="shared" si="65"/>
        <v>20843257.932167999</v>
      </c>
      <c r="R260" s="375">
        <f t="shared" si="65"/>
        <v>20276626.045031995</v>
      </c>
      <c r="S260" s="375">
        <f t="shared" si="65"/>
        <v>21463183.383207995</v>
      </c>
      <c r="T260" s="375">
        <f t="shared" si="65"/>
        <v>24158383.391968001</v>
      </c>
      <c r="U260" s="376">
        <f t="shared" si="65"/>
        <v>43605081.174983993</v>
      </c>
      <c r="V260" s="385" t="e">
        <f>T260*#REF!</f>
        <v>#REF!</v>
      </c>
      <c r="W260" s="385" t="e">
        <f>U260*#REF!</f>
        <v>#REF!</v>
      </c>
    </row>
    <row r="261" spans="1:23" x14ac:dyDescent="0.35">
      <c r="C261" s="237" t="s">
        <v>565</v>
      </c>
      <c r="D261" s="588"/>
      <c r="E261" s="104"/>
      <c r="F261" s="239"/>
      <c r="I261" s="597">
        <f t="shared" si="64"/>
        <v>589629.01942800009</v>
      </c>
      <c r="J261" s="375">
        <f t="shared" si="64"/>
        <v>608340.107388</v>
      </c>
      <c r="K261" s="375">
        <f t="shared" si="64"/>
        <v>996802.67951999977</v>
      </c>
      <c r="L261" s="375">
        <f t="shared" si="64"/>
        <v>1330296.8279880001</v>
      </c>
      <c r="M261" s="375">
        <f t="shared" si="64"/>
        <v>2050268.1608520006</v>
      </c>
      <c r="N261" s="375">
        <f t="shared" si="64"/>
        <v>3709898.328947999</v>
      </c>
      <c r="O261" s="375">
        <f t="shared" si="64"/>
        <v>3797828.9809439988</v>
      </c>
      <c r="P261" s="375">
        <f t="shared" si="64"/>
        <v>4154323.3919039993</v>
      </c>
      <c r="Q261" s="375">
        <f t="shared" si="65"/>
        <v>4466412.4140359992</v>
      </c>
      <c r="R261" s="375">
        <f t="shared" si="65"/>
        <v>4344991.295363999</v>
      </c>
      <c r="S261" s="375">
        <f t="shared" si="65"/>
        <v>4599253.5821159985</v>
      </c>
      <c r="T261" s="375">
        <f t="shared" si="65"/>
        <v>5176796.4411359997</v>
      </c>
      <c r="U261" s="376">
        <f t="shared" si="65"/>
        <v>9343945.9660679977</v>
      </c>
    </row>
    <row r="262" spans="1:23" x14ac:dyDescent="0.35">
      <c r="C262" s="237" t="s">
        <v>567</v>
      </c>
      <c r="D262" s="588"/>
      <c r="E262" s="104"/>
      <c r="F262" s="239"/>
      <c r="I262" s="597">
        <f t="shared" si="64"/>
        <v>687900.52266600018</v>
      </c>
      <c r="J262" s="375">
        <f t="shared" si="64"/>
        <v>709730.1252860002</v>
      </c>
      <c r="K262" s="375">
        <f t="shared" si="64"/>
        <v>1162936.4594399999</v>
      </c>
      <c r="L262" s="375">
        <f t="shared" si="64"/>
        <v>1552012.9659860001</v>
      </c>
      <c r="M262" s="375">
        <f t="shared" si="64"/>
        <v>2391979.5209940011</v>
      </c>
      <c r="N262" s="375">
        <f t="shared" si="64"/>
        <v>4328214.7171059996</v>
      </c>
      <c r="O262" s="375">
        <f t="shared" si="64"/>
        <v>4430800.4777679993</v>
      </c>
      <c r="P262" s="375">
        <f t="shared" si="64"/>
        <v>4846710.6238879999</v>
      </c>
      <c r="Q262" s="375">
        <f t="shared" si="65"/>
        <v>5210814.4830419999</v>
      </c>
      <c r="R262" s="375">
        <f t="shared" si="65"/>
        <v>5069156.5112579986</v>
      </c>
      <c r="S262" s="375">
        <f t="shared" si="65"/>
        <v>5365795.8458019989</v>
      </c>
      <c r="T262" s="375">
        <f t="shared" si="65"/>
        <v>6039595.8479920002</v>
      </c>
      <c r="U262" s="376">
        <f t="shared" si="65"/>
        <v>10901270.293745998</v>
      </c>
    </row>
    <row r="263" spans="1:23" x14ac:dyDescent="0.35">
      <c r="C263" s="237" t="s">
        <v>572</v>
      </c>
      <c r="D263" s="588"/>
      <c r="E263" s="104"/>
      <c r="F263" s="239"/>
      <c r="I263" s="597">
        <f t="shared" si="64"/>
        <v>196543.00647600004</v>
      </c>
      <c r="J263" s="375">
        <f t="shared" si="64"/>
        <v>202780.03579600004</v>
      </c>
      <c r="K263" s="375">
        <f t="shared" si="64"/>
        <v>332267.55983999994</v>
      </c>
      <c r="L263" s="375">
        <f t="shared" si="64"/>
        <v>443432.27599600004</v>
      </c>
      <c r="M263" s="375">
        <f t="shared" si="64"/>
        <v>683422.72028400016</v>
      </c>
      <c r="N263" s="375">
        <f t="shared" si="64"/>
        <v>1236632.7763159999</v>
      </c>
      <c r="O263" s="375">
        <f t="shared" si="64"/>
        <v>1265942.9936479996</v>
      </c>
      <c r="P263" s="375">
        <f t="shared" si="64"/>
        <v>1384774.4639679999</v>
      </c>
      <c r="Q263" s="375">
        <f t="shared" si="65"/>
        <v>1488804.1380119997</v>
      </c>
      <c r="R263" s="375">
        <f t="shared" si="65"/>
        <v>1448330.4317879996</v>
      </c>
      <c r="S263" s="375">
        <f t="shared" si="65"/>
        <v>1533084.5273719996</v>
      </c>
      <c r="T263" s="375">
        <f t="shared" si="65"/>
        <v>1725598.8137119999</v>
      </c>
      <c r="U263" s="376">
        <f t="shared" si="65"/>
        <v>3114648.6553559997</v>
      </c>
    </row>
    <row r="264" spans="1:23" x14ac:dyDescent="0.35">
      <c r="C264" s="586" t="s">
        <v>564</v>
      </c>
      <c r="D264" s="104"/>
      <c r="E264" s="104"/>
      <c r="F264" s="239"/>
      <c r="I264" s="600">
        <f t="shared" ref="I264:P264" si="66">I259*I197</f>
        <v>531774.68786014768</v>
      </c>
      <c r="J264" s="385">
        <f t="shared" si="66"/>
        <v>513316.94451475726</v>
      </c>
      <c r="K264" s="385">
        <f t="shared" si="66"/>
        <v>749608.43584518845</v>
      </c>
      <c r="L264" s="385">
        <f t="shared" si="66"/>
        <v>577301.83424697025</v>
      </c>
      <c r="M264" s="385">
        <f t="shared" si="66"/>
        <v>1180035.7223799175</v>
      </c>
      <c r="N264" s="385">
        <f t="shared" si="66"/>
        <v>2989797.3943399652</v>
      </c>
      <c r="O264" s="385">
        <f t="shared" si="66"/>
        <v>3656198.481996221</v>
      </c>
      <c r="P264" s="385">
        <f t="shared" si="66"/>
        <v>2770094.2650377615</v>
      </c>
      <c r="Q264" s="385">
        <f>Q259*Q197</f>
        <v>3299298.9979631649</v>
      </c>
      <c r="R264" s="385">
        <f t="shared" ref="R264:U264" si="67">R259*R197</f>
        <v>3084036.680578087</v>
      </c>
      <c r="S264" s="385">
        <f t="shared" si="67"/>
        <v>3226355.593895446</v>
      </c>
      <c r="T264" s="385">
        <f t="shared" si="67"/>
        <v>5423812.2586749243</v>
      </c>
      <c r="U264" s="503">
        <f t="shared" si="67"/>
        <v>5679699.3538515866</v>
      </c>
    </row>
    <row r="265" spans="1:23" x14ac:dyDescent="0.35">
      <c r="C265" s="586" t="s">
        <v>228</v>
      </c>
      <c r="D265" s="588"/>
      <c r="E265" s="104"/>
      <c r="F265" s="239"/>
      <c r="I265" s="600">
        <f t="shared" ref="I265:P268" si="68">I260*I198</f>
        <v>2751602.0906640007</v>
      </c>
      <c r="J265" s="385">
        <f t="shared" si="68"/>
        <v>2838920.5011440008</v>
      </c>
      <c r="K265" s="385">
        <f t="shared" si="68"/>
        <v>4651745.8377599996</v>
      </c>
      <c r="L265" s="385">
        <f t="shared" si="68"/>
        <v>6208051.8639440006</v>
      </c>
      <c r="M265" s="385">
        <f t="shared" si="68"/>
        <v>9565882.3567240927</v>
      </c>
      <c r="N265" s="385">
        <f t="shared" si="68"/>
        <v>17305777.944551434</v>
      </c>
      <c r="O265" s="385">
        <f t="shared" si="68"/>
        <v>17709051.650065154</v>
      </c>
      <c r="P265" s="385">
        <f t="shared" si="68"/>
        <v>19359090.369280249</v>
      </c>
      <c r="Q265" s="385">
        <f>Q260*Q198</f>
        <v>20792830.695235334</v>
      </c>
      <c r="R265" s="385">
        <f t="shared" ref="Q265:U268" si="69">R260*R198</f>
        <v>20184838.848943371</v>
      </c>
      <c r="S265" s="385">
        <f t="shared" si="69"/>
        <v>21266818.088425454</v>
      </c>
      <c r="T265" s="385">
        <f t="shared" si="69"/>
        <v>23799341.60057994</v>
      </c>
      <c r="U265" s="503">
        <f t="shared" si="69"/>
        <v>42653507.461093448</v>
      </c>
    </row>
    <row r="266" spans="1:23" x14ac:dyDescent="0.35">
      <c r="C266" s="586" t="s">
        <v>565</v>
      </c>
      <c r="D266" s="588"/>
      <c r="E266" s="104"/>
      <c r="F266" s="239"/>
      <c r="I266" s="600">
        <f t="shared" si="68"/>
        <v>589629.01942800009</v>
      </c>
      <c r="J266" s="385">
        <f t="shared" si="68"/>
        <v>608340.107388</v>
      </c>
      <c r="K266" s="385">
        <f t="shared" si="68"/>
        <v>996802.67951999977</v>
      </c>
      <c r="L266" s="385">
        <f t="shared" si="68"/>
        <v>1330296.8279880001</v>
      </c>
      <c r="M266" s="385">
        <f t="shared" si="68"/>
        <v>2050268.1608520006</v>
      </c>
      <c r="N266" s="385">
        <f t="shared" si="68"/>
        <v>3709898.328947999</v>
      </c>
      <c r="O266" s="385">
        <f t="shared" si="68"/>
        <v>3797828.9809439988</v>
      </c>
      <c r="P266" s="385">
        <f t="shared" si="68"/>
        <v>4154323.3919039993</v>
      </c>
      <c r="Q266" s="385">
        <f t="shared" si="69"/>
        <v>4466412.4140359992</v>
      </c>
      <c r="R266" s="385">
        <f t="shared" si="69"/>
        <v>4344991.295363999</v>
      </c>
      <c r="S266" s="385">
        <f t="shared" si="69"/>
        <v>4599253.5821159985</v>
      </c>
      <c r="T266" s="385">
        <f t="shared" si="69"/>
        <v>5176796.4411359997</v>
      </c>
      <c r="U266" s="503">
        <f t="shared" si="69"/>
        <v>9343945.9660679977</v>
      </c>
    </row>
    <row r="267" spans="1:23" x14ac:dyDescent="0.35">
      <c r="C267" s="586" t="s">
        <v>567</v>
      </c>
      <c r="D267" s="588"/>
      <c r="E267" s="104"/>
      <c r="F267" s="239"/>
      <c r="I267" s="600">
        <f t="shared" si="68"/>
        <v>467581.30101489119</v>
      </c>
      <c r="J267" s="385">
        <f t="shared" si="68"/>
        <v>470348.64889852505</v>
      </c>
      <c r="K267" s="385">
        <f t="shared" si="68"/>
        <v>763079.50804814254</v>
      </c>
      <c r="L267" s="385">
        <f t="shared" si="68"/>
        <v>822257.38836525229</v>
      </c>
      <c r="M267" s="385">
        <f t="shared" si="68"/>
        <v>1229864.7578805287</v>
      </c>
      <c r="N267" s="385">
        <f t="shared" si="68"/>
        <v>2079785.9322081094</v>
      </c>
      <c r="O267" s="385">
        <f t="shared" si="68"/>
        <v>1986343.7739838939</v>
      </c>
      <c r="P267" s="385">
        <f t="shared" si="68"/>
        <v>2171760.1450220426</v>
      </c>
      <c r="Q267" s="385">
        <f t="shared" si="69"/>
        <v>2206307.0633891565</v>
      </c>
      <c r="R267" s="385">
        <f t="shared" si="69"/>
        <v>2124612.5130673563</v>
      </c>
      <c r="S267" s="385">
        <f t="shared" si="69"/>
        <v>2199088.0962266284</v>
      </c>
      <c r="T267" s="385">
        <f t="shared" si="69"/>
        <v>2194570.1926309541</v>
      </c>
      <c r="U267" s="503">
        <f t="shared" si="69"/>
        <v>4078188.7066066368</v>
      </c>
    </row>
    <row r="268" spans="1:23" x14ac:dyDescent="0.35">
      <c r="C268" s="586" t="s">
        <v>572</v>
      </c>
      <c r="D268" s="588"/>
      <c r="E268" s="104"/>
      <c r="F268" s="239"/>
      <c r="I268" s="600">
        <f t="shared" si="68"/>
        <v>196543.00647600004</v>
      </c>
      <c r="J268" s="385">
        <f t="shared" si="68"/>
        <v>202780.03579600004</v>
      </c>
      <c r="K268" s="385">
        <f t="shared" si="68"/>
        <v>332267.55983999994</v>
      </c>
      <c r="L268" s="385">
        <f t="shared" si="68"/>
        <v>443432.27599600004</v>
      </c>
      <c r="M268" s="385">
        <f t="shared" si="68"/>
        <v>683422.72028400016</v>
      </c>
      <c r="N268" s="385">
        <f t="shared" si="68"/>
        <v>1236632.7763159999</v>
      </c>
      <c r="O268" s="385">
        <f t="shared" si="68"/>
        <v>1265942.9936479996</v>
      </c>
      <c r="P268" s="385">
        <f t="shared" si="68"/>
        <v>1384774.4639679999</v>
      </c>
      <c r="Q268" s="385">
        <f t="shared" si="69"/>
        <v>1488804.1380119997</v>
      </c>
      <c r="R268" s="385">
        <f t="shared" si="69"/>
        <v>1448330.4317879996</v>
      </c>
      <c r="S268" s="385">
        <f t="shared" si="69"/>
        <v>1533084.5273719996</v>
      </c>
      <c r="T268" s="385">
        <f t="shared" si="69"/>
        <v>1725598.8137119999</v>
      </c>
      <c r="U268" s="503">
        <f t="shared" si="69"/>
        <v>3114648.6553559997</v>
      </c>
    </row>
    <row r="269" spans="1:23" x14ac:dyDescent="0.35">
      <c r="C269" s="586" t="s">
        <v>277</v>
      </c>
      <c r="D269" s="588"/>
      <c r="E269" s="104"/>
      <c r="F269" s="239"/>
      <c r="I269" s="599">
        <f>SUM(I264:I268)</f>
        <v>4537130.105443039</v>
      </c>
      <c r="J269" s="434">
        <f t="shared" ref="J269:P269" si="70">SUM(J264:J268)</f>
        <v>4633706.2377412831</v>
      </c>
      <c r="K269" s="434">
        <f t="shared" si="70"/>
        <v>7493504.0210133307</v>
      </c>
      <c r="L269" s="434">
        <f t="shared" si="70"/>
        <v>9381340.1905402225</v>
      </c>
      <c r="M269" s="434">
        <f t="shared" si="70"/>
        <v>14709473.71812054</v>
      </c>
      <c r="N269" s="434">
        <f t="shared" si="70"/>
        <v>27321892.376363505</v>
      </c>
      <c r="O269" s="434">
        <f t="shared" si="70"/>
        <v>28415365.880637266</v>
      </c>
      <c r="P269" s="434">
        <f t="shared" si="70"/>
        <v>29840042.635212053</v>
      </c>
      <c r="Q269" s="434">
        <f>SUM(Q264:Q268)</f>
        <v>32253653.308635652</v>
      </c>
      <c r="R269" s="434">
        <f t="shared" ref="R269:U269" si="71">SUM(R264:R268)</f>
        <v>31186809.769740816</v>
      </c>
      <c r="S269" s="434">
        <f t="shared" si="71"/>
        <v>32824599.888035528</v>
      </c>
      <c r="T269" s="434">
        <f t="shared" si="71"/>
        <v>38320119.306733817</v>
      </c>
      <c r="U269" s="500">
        <f t="shared" si="71"/>
        <v>64869990.142975666</v>
      </c>
    </row>
    <row r="270" spans="1:23" x14ac:dyDescent="0.35">
      <c r="C270" s="604" t="s">
        <v>277</v>
      </c>
      <c r="D270" s="588"/>
      <c r="E270" s="104"/>
      <c r="F270" s="239"/>
      <c r="I270" s="607">
        <f>I269+I256+I243+I230+I217</f>
        <v>1167706558.8651042</v>
      </c>
      <c r="J270" s="585">
        <f t="shared" ref="J270:P270" si="72">J269+J256+J243+J230+J217</f>
        <v>1239937865.5938847</v>
      </c>
      <c r="K270" s="585">
        <f t="shared" si="72"/>
        <v>1344712702.3081861</v>
      </c>
      <c r="L270" s="585">
        <f t="shared" si="72"/>
        <v>1190564954.7321193</v>
      </c>
      <c r="M270" s="585">
        <f t="shared" si="72"/>
        <v>1239202124.4486971</v>
      </c>
      <c r="N270" s="585">
        <f t="shared" si="72"/>
        <v>1221340304.3737843</v>
      </c>
      <c r="O270" s="585">
        <f t="shared" si="72"/>
        <v>1276085217.4366534</v>
      </c>
      <c r="P270" s="585">
        <f t="shared" si="72"/>
        <v>1270104232.0925417</v>
      </c>
      <c r="Q270" s="585">
        <f>Q269+Q256+Q243+Q230+Q217</f>
        <v>1301662756.2351334</v>
      </c>
      <c r="R270" s="585">
        <f t="shared" ref="R270:U270" si="73">R269+R256+R243+R230+R217</f>
        <v>1241468974.4267759</v>
      </c>
      <c r="S270" s="585">
        <f t="shared" si="73"/>
        <v>1296377563.7452648</v>
      </c>
      <c r="T270" s="585">
        <f t="shared" si="73"/>
        <v>1695633934.0670307</v>
      </c>
      <c r="U270" s="608">
        <f t="shared" si="73"/>
        <v>2049697907.2939067</v>
      </c>
      <c r="V270" s="387" t="e">
        <f>V260+V247+V234+V221+V208</f>
        <v>#REF!</v>
      </c>
      <c r="W270" s="387" t="e">
        <f>W260+W247+W234+W221+W208</f>
        <v>#REF!</v>
      </c>
    </row>
    <row r="271" spans="1:23" x14ac:dyDescent="0.35">
      <c r="A271" s="984"/>
      <c r="C271" s="562" t="s">
        <v>573</v>
      </c>
      <c r="D271" s="605"/>
      <c r="E271" s="567"/>
      <c r="F271" s="568"/>
      <c r="I271" s="609">
        <f>I270-I264-I251-I238-I225-I212</f>
        <v>1030845420.5636485</v>
      </c>
      <c r="J271" s="569">
        <f t="shared" ref="J271:U271" si="74">J270-J264-J251-J238-J225-J212</f>
        <v>1102578895.4954569</v>
      </c>
      <c r="K271" s="569">
        <f t="shared" si="74"/>
        <v>1210195127.8047583</v>
      </c>
      <c r="L271" s="569">
        <f t="shared" si="74"/>
        <v>1117300866.8515756</v>
      </c>
      <c r="M271" s="569">
        <f t="shared" si="74"/>
        <v>1139789813.5719903</v>
      </c>
      <c r="N271" s="569">
        <f t="shared" si="74"/>
        <v>1087690701.7284665</v>
      </c>
      <c r="O271" s="569">
        <f t="shared" si="74"/>
        <v>1111891630.9634647</v>
      </c>
      <c r="P271" s="569">
        <f t="shared" si="74"/>
        <v>1152198621.422668</v>
      </c>
      <c r="Q271" s="569">
        <f t="shared" si="74"/>
        <v>1168512734.8642919</v>
      </c>
      <c r="R271" s="569">
        <f t="shared" si="74"/>
        <v>1118701179.8623352</v>
      </c>
      <c r="S271" s="569">
        <f t="shared" si="74"/>
        <v>1168955599.1559987</v>
      </c>
      <c r="T271" s="569">
        <f t="shared" si="74"/>
        <v>1455634678.2139354</v>
      </c>
      <c r="U271" s="1309">
        <f t="shared" si="74"/>
        <v>1870236374.2492814</v>
      </c>
      <c r="V271" s="387"/>
      <c r="W271" s="387"/>
    </row>
    <row r="272" spans="1:23" x14ac:dyDescent="0.35">
      <c r="C272" s="553"/>
      <c r="D272" s="588"/>
      <c r="E272" s="104"/>
      <c r="F272" s="104"/>
      <c r="I272" s="601"/>
      <c r="J272" s="601"/>
      <c r="K272" s="601"/>
      <c r="L272" s="601"/>
      <c r="M272" s="601"/>
      <c r="N272" s="601"/>
      <c r="O272" s="601"/>
      <c r="P272" s="601"/>
      <c r="Q272" s="601"/>
      <c r="R272" s="601"/>
      <c r="S272" s="601"/>
      <c r="T272" s="601"/>
      <c r="U272" s="601"/>
      <c r="V272" s="387"/>
      <c r="W272" s="387"/>
    </row>
    <row r="273" spans="1:23" x14ac:dyDescent="0.35">
      <c r="C273" s="553"/>
      <c r="D273" s="588"/>
      <c r="E273" s="104"/>
      <c r="F273" s="104"/>
      <c r="I273" s="601"/>
      <c r="J273" s="601"/>
      <c r="K273" s="601"/>
      <c r="L273" s="601"/>
      <c r="M273" s="601"/>
      <c r="N273" s="601"/>
      <c r="O273" s="601"/>
      <c r="P273" s="601"/>
      <c r="Q273" s="601"/>
      <c r="R273" s="601"/>
      <c r="S273" s="601"/>
      <c r="T273" s="601"/>
      <c r="U273" s="601"/>
      <c r="V273" s="387"/>
      <c r="W273" s="387"/>
    </row>
    <row r="274" spans="1:23" x14ac:dyDescent="0.35">
      <c r="C274" s="261" t="s">
        <v>574</v>
      </c>
      <c r="D274" s="379"/>
      <c r="Q274" s="375"/>
      <c r="R274" s="375"/>
      <c r="S274" s="375"/>
      <c r="T274" s="375"/>
      <c r="U274" s="375"/>
    </row>
    <row r="275" spans="1:23" x14ac:dyDescent="0.35">
      <c r="D275" s="379"/>
      <c r="Q275" s="375"/>
      <c r="R275" s="375"/>
      <c r="S275" s="375"/>
      <c r="T275" s="375"/>
      <c r="U275" s="375"/>
    </row>
    <row r="276" spans="1:23" x14ac:dyDescent="0.35">
      <c r="A276" s="144" t="s">
        <v>539</v>
      </c>
      <c r="C276" s="15" t="s">
        <v>575</v>
      </c>
      <c r="D276" s="379"/>
    </row>
    <row r="277" spans="1:23" x14ac:dyDescent="0.35">
      <c r="C277" t="s">
        <v>576</v>
      </c>
      <c r="D277" s="379"/>
    </row>
    <row r="278" spans="1:23" x14ac:dyDescent="0.35">
      <c r="C278" s="72" t="s">
        <v>20</v>
      </c>
      <c r="D278" s="391">
        <v>0.43</v>
      </c>
    </row>
    <row r="279" spans="1:23" x14ac:dyDescent="0.35">
      <c r="C279" s="74" t="s">
        <v>18</v>
      </c>
      <c r="D279" s="392">
        <v>0.34</v>
      </c>
    </row>
    <row r="280" spans="1:23" x14ac:dyDescent="0.35">
      <c r="C280" s="74" t="s">
        <v>577</v>
      </c>
      <c r="D280" s="392">
        <v>0.12</v>
      </c>
    </row>
    <row r="281" spans="1:23" x14ac:dyDescent="0.35">
      <c r="C281" s="99" t="s">
        <v>578</v>
      </c>
      <c r="D281" s="394">
        <v>0.11</v>
      </c>
      <c r="H281" s="15" t="s">
        <v>579</v>
      </c>
      <c r="P281" s="15"/>
      <c r="Q281" s="379"/>
    </row>
    <row r="282" spans="1:23" x14ac:dyDescent="0.35">
      <c r="C282" s="15" t="s">
        <v>580</v>
      </c>
      <c r="D282" s="379"/>
      <c r="E282" s="379"/>
      <c r="H282" s="65" t="s">
        <v>581</v>
      </c>
      <c r="I282" s="467">
        <v>2011</v>
      </c>
      <c r="J282" s="468">
        <v>2012</v>
      </c>
      <c r="K282" s="468">
        <v>2013</v>
      </c>
      <c r="L282" s="468">
        <v>2014</v>
      </c>
      <c r="M282" s="468">
        <v>2015</v>
      </c>
      <c r="N282" s="468">
        <v>2016</v>
      </c>
      <c r="O282" s="468">
        <v>2017</v>
      </c>
      <c r="P282" s="468">
        <v>2018</v>
      </c>
      <c r="Q282" s="468">
        <v>2019</v>
      </c>
      <c r="R282" s="468">
        <v>2020</v>
      </c>
      <c r="S282" s="468">
        <v>2021</v>
      </c>
      <c r="T282" s="468">
        <v>2022</v>
      </c>
      <c r="U282" s="469">
        <v>2023</v>
      </c>
    </row>
    <row r="283" spans="1:23" x14ac:dyDescent="0.35">
      <c r="C283" s="72" t="s">
        <v>582</v>
      </c>
      <c r="D283" s="390">
        <v>0.68</v>
      </c>
      <c r="E283" s="73"/>
      <c r="F283" s="391">
        <v>0.68</v>
      </c>
      <c r="H283" s="381" t="s">
        <v>582</v>
      </c>
      <c r="I283" s="499">
        <v>1</v>
      </c>
      <c r="J283" s="390">
        <v>1</v>
      </c>
      <c r="K283" s="390">
        <v>1</v>
      </c>
      <c r="L283" s="390">
        <v>1</v>
      </c>
      <c r="M283" s="390">
        <v>1</v>
      </c>
      <c r="N283" s="390">
        <v>1</v>
      </c>
      <c r="O283" s="390">
        <v>1</v>
      </c>
      <c r="P283" s="390">
        <v>1</v>
      </c>
      <c r="Q283" s="390">
        <v>1</v>
      </c>
      <c r="R283" s="390">
        <v>1</v>
      </c>
      <c r="S283" s="390">
        <v>1</v>
      </c>
      <c r="T283" s="390">
        <v>1</v>
      </c>
      <c r="U283" s="391">
        <v>1</v>
      </c>
    </row>
    <row r="284" spans="1:23" x14ac:dyDescent="0.35">
      <c r="C284" s="74" t="s">
        <v>583</v>
      </c>
      <c r="D284" s="379">
        <v>0.21</v>
      </c>
      <c r="F284" s="392">
        <v>0.21</v>
      </c>
      <c r="H284" s="381" t="s">
        <v>583</v>
      </c>
      <c r="I284" s="435">
        <v>1</v>
      </c>
      <c r="J284" s="379">
        <v>1</v>
      </c>
      <c r="K284" s="379">
        <v>1</v>
      </c>
      <c r="L284" s="379">
        <v>1</v>
      </c>
      <c r="M284" s="379">
        <v>1</v>
      </c>
      <c r="N284" s="379">
        <v>1</v>
      </c>
      <c r="O284" s="379">
        <v>1</v>
      </c>
      <c r="P284" s="379">
        <v>1</v>
      </c>
      <c r="Q284" s="379">
        <v>1</v>
      </c>
      <c r="R284" s="379">
        <v>1</v>
      </c>
      <c r="S284" s="379">
        <v>1</v>
      </c>
      <c r="T284" s="379">
        <v>1</v>
      </c>
      <c r="U284" s="392">
        <v>1</v>
      </c>
    </row>
    <row r="285" spans="1:23" x14ac:dyDescent="0.35">
      <c r="C285" s="74" t="s">
        <v>560</v>
      </c>
      <c r="D285" s="379">
        <v>0.11</v>
      </c>
      <c r="F285" s="392">
        <v>0.11</v>
      </c>
      <c r="H285" s="381" t="s">
        <v>560</v>
      </c>
      <c r="I285" s="435">
        <v>0</v>
      </c>
      <c r="J285" s="379">
        <v>0</v>
      </c>
      <c r="K285" s="379">
        <v>0</v>
      </c>
      <c r="L285" s="379">
        <v>0</v>
      </c>
      <c r="M285" s="379">
        <v>0</v>
      </c>
      <c r="N285" s="379">
        <v>0</v>
      </c>
      <c r="O285" s="379">
        <v>0</v>
      </c>
      <c r="P285" s="379">
        <v>0</v>
      </c>
      <c r="Q285" s="379">
        <v>0</v>
      </c>
      <c r="R285" s="379">
        <v>0</v>
      </c>
      <c r="S285" s="379">
        <v>0</v>
      </c>
      <c r="T285" s="379">
        <v>0</v>
      </c>
      <c r="U285" s="392">
        <v>0</v>
      </c>
    </row>
    <row r="286" spans="1:23" x14ac:dyDescent="0.35">
      <c r="C286" s="437" t="s">
        <v>584</v>
      </c>
      <c r="D286" s="379">
        <f>F286*$D$285</f>
        <v>2.53E-2</v>
      </c>
      <c r="F286" s="392">
        <v>0.23</v>
      </c>
      <c r="H286" s="383" t="s">
        <v>584</v>
      </c>
      <c r="I286" s="74"/>
      <c r="J286" s="379">
        <v>1</v>
      </c>
      <c r="K286" s="379">
        <v>1</v>
      </c>
      <c r="L286" s="379">
        <v>1</v>
      </c>
      <c r="M286" s="379">
        <v>1</v>
      </c>
      <c r="N286" s="379">
        <v>1</v>
      </c>
      <c r="O286" s="379">
        <v>1</v>
      </c>
      <c r="P286" s="379">
        <v>1</v>
      </c>
      <c r="Q286" s="379">
        <v>1</v>
      </c>
      <c r="R286" s="379">
        <v>1</v>
      </c>
      <c r="S286" s="379">
        <v>1</v>
      </c>
      <c r="T286" s="379">
        <v>1</v>
      </c>
      <c r="U286" s="392">
        <v>1</v>
      </c>
    </row>
    <row r="287" spans="1:23" x14ac:dyDescent="0.35">
      <c r="C287" s="437" t="s">
        <v>585</v>
      </c>
      <c r="D287" s="379">
        <f>F287*$D$285</f>
        <v>5.8300000000000005E-2</v>
      </c>
      <c r="F287" s="392">
        <v>0.53</v>
      </c>
      <c r="H287" s="383" t="s">
        <v>585</v>
      </c>
      <c r="I287" s="435">
        <v>0</v>
      </c>
      <c r="J287" s="379">
        <v>0</v>
      </c>
      <c r="K287" s="379">
        <v>0</v>
      </c>
      <c r="L287" s="379">
        <v>0</v>
      </c>
      <c r="M287" s="379">
        <v>0</v>
      </c>
      <c r="N287" s="379">
        <v>0</v>
      </c>
      <c r="O287" s="379">
        <v>0</v>
      </c>
      <c r="P287" s="379">
        <v>0</v>
      </c>
      <c r="Q287" s="379">
        <v>0</v>
      </c>
      <c r="R287" s="379">
        <v>0</v>
      </c>
      <c r="S287" s="379">
        <v>0</v>
      </c>
      <c r="T287" s="379">
        <v>0</v>
      </c>
      <c r="U287" s="392">
        <v>0</v>
      </c>
    </row>
    <row r="288" spans="1:23" x14ac:dyDescent="0.35">
      <c r="C288" s="437" t="s">
        <v>586</v>
      </c>
      <c r="D288" s="379">
        <f t="shared" ref="D288:D290" si="75">F288*$D$285</f>
        <v>1.21E-2</v>
      </c>
      <c r="F288" s="392">
        <v>0.11</v>
      </c>
      <c r="H288" s="383" t="s">
        <v>586</v>
      </c>
      <c r="I288" s="435">
        <v>1</v>
      </c>
      <c r="J288" s="379">
        <v>1</v>
      </c>
      <c r="K288" s="379">
        <v>1</v>
      </c>
      <c r="L288" s="379">
        <v>1</v>
      </c>
      <c r="M288" s="379">
        <v>1</v>
      </c>
      <c r="N288" s="379">
        <v>1</v>
      </c>
      <c r="O288" s="379">
        <v>1</v>
      </c>
      <c r="P288" s="379">
        <v>1</v>
      </c>
      <c r="Q288" s="379">
        <v>1</v>
      </c>
      <c r="R288" s="379">
        <v>1</v>
      </c>
      <c r="S288" s="379">
        <v>1</v>
      </c>
      <c r="T288" s="379">
        <v>1</v>
      </c>
      <c r="U288" s="392">
        <v>1</v>
      </c>
    </row>
    <row r="289" spans="3:22" x14ac:dyDescent="0.35">
      <c r="C289" s="437" t="s">
        <v>587</v>
      </c>
      <c r="D289" s="379">
        <f t="shared" si="75"/>
        <v>7.7000000000000011E-3</v>
      </c>
      <c r="F289" s="392">
        <v>7.0000000000000007E-2</v>
      </c>
      <c r="H289" s="383" t="s">
        <v>587</v>
      </c>
      <c r="I289" s="435">
        <v>0</v>
      </c>
      <c r="J289" s="379">
        <v>0</v>
      </c>
      <c r="K289" s="379">
        <v>0</v>
      </c>
      <c r="L289" s="379">
        <v>0</v>
      </c>
      <c r="M289" s="379">
        <v>0</v>
      </c>
      <c r="N289" s="379">
        <v>0</v>
      </c>
      <c r="O289" s="379">
        <v>0</v>
      </c>
      <c r="P289" s="379">
        <v>0</v>
      </c>
      <c r="Q289" s="379">
        <v>0</v>
      </c>
      <c r="R289" s="379">
        <v>0</v>
      </c>
      <c r="S289" s="379">
        <v>0</v>
      </c>
      <c r="T289" s="379">
        <v>0</v>
      </c>
      <c r="U289" s="392">
        <v>0</v>
      </c>
    </row>
    <row r="290" spans="3:22" x14ac:dyDescent="0.35">
      <c r="C290" s="438" t="s">
        <v>588</v>
      </c>
      <c r="D290" s="393">
        <f t="shared" si="75"/>
        <v>5.5000000000000005E-3</v>
      </c>
      <c r="E290" s="100"/>
      <c r="F290" s="394">
        <v>0.05</v>
      </c>
      <c r="H290" s="384" t="s">
        <v>588</v>
      </c>
      <c r="I290" s="433">
        <v>1</v>
      </c>
      <c r="J290" s="393">
        <v>1</v>
      </c>
      <c r="K290" s="393">
        <v>1</v>
      </c>
      <c r="L290" s="393">
        <v>1</v>
      </c>
      <c r="M290" s="393">
        <v>1</v>
      </c>
      <c r="N290" s="393">
        <v>1</v>
      </c>
      <c r="O290" s="393">
        <v>1</v>
      </c>
      <c r="P290" s="393">
        <v>1</v>
      </c>
      <c r="Q290" s="393">
        <v>1</v>
      </c>
      <c r="R290" s="393">
        <v>1</v>
      </c>
      <c r="S290" s="393">
        <v>1</v>
      </c>
      <c r="T290" s="393">
        <v>1</v>
      </c>
      <c r="U290" s="394">
        <v>1</v>
      </c>
    </row>
    <row r="291" spans="3:22" x14ac:dyDescent="0.35">
      <c r="C291" t="s">
        <v>589</v>
      </c>
      <c r="D291" s="379"/>
      <c r="I291" s="509"/>
      <c r="J291" s="399"/>
      <c r="U291" s="385"/>
    </row>
    <row r="292" spans="3:22" x14ac:dyDescent="0.35">
      <c r="D292" s="379"/>
      <c r="U292" s="385"/>
    </row>
    <row r="293" spans="3:22" x14ac:dyDescent="0.35">
      <c r="C293" s="461" t="s">
        <v>475</v>
      </c>
      <c r="D293" s="390"/>
      <c r="E293" s="73"/>
      <c r="F293" s="29"/>
      <c r="I293" s="461"/>
      <c r="J293" s="462"/>
      <c r="K293" s="462"/>
      <c r="L293" s="462"/>
      <c r="M293" s="462"/>
      <c r="N293" s="462"/>
      <c r="O293" s="462"/>
      <c r="P293" s="462"/>
      <c r="Q293" s="462"/>
      <c r="R293" s="462"/>
      <c r="S293" s="462"/>
      <c r="T293" s="462"/>
      <c r="U293" s="463"/>
    </row>
    <row r="294" spans="3:22" x14ac:dyDescent="0.35">
      <c r="C294" s="464" t="s">
        <v>476</v>
      </c>
      <c r="D294" s="555"/>
      <c r="E294" s="555"/>
      <c r="F294" s="606"/>
      <c r="I294" s="464"/>
      <c r="J294" s="555"/>
      <c r="K294" s="555"/>
      <c r="L294" s="555"/>
      <c r="M294" s="555"/>
      <c r="N294" s="555"/>
      <c r="O294" s="555"/>
      <c r="P294" s="555"/>
      <c r="Q294" s="555"/>
      <c r="R294" s="555"/>
      <c r="S294" s="555"/>
      <c r="T294" s="555"/>
      <c r="U294" s="369"/>
      <c r="V294" s="15" t="s">
        <v>570</v>
      </c>
    </row>
    <row r="295" spans="3:22" x14ac:dyDescent="0.35">
      <c r="C295" s="510" t="s">
        <v>482</v>
      </c>
      <c r="D295" s="379"/>
      <c r="F295" s="31"/>
      <c r="H295" s="584"/>
      <c r="I295" s="611">
        <f>I41</f>
        <v>324628406.63393021</v>
      </c>
      <c r="J295" s="610">
        <f t="shared" ref="J295:U295" si="76">J41</f>
        <v>350001294.7467643</v>
      </c>
      <c r="K295" s="610">
        <f t="shared" si="76"/>
        <v>342213589.70560068</v>
      </c>
      <c r="L295" s="610">
        <f t="shared" si="76"/>
        <v>326542625.8800168</v>
      </c>
      <c r="M295" s="610">
        <f t="shared" si="76"/>
        <v>282523429.31331772</v>
      </c>
      <c r="N295" s="610">
        <f t="shared" si="76"/>
        <v>258236929.42122</v>
      </c>
      <c r="O295" s="610">
        <f t="shared" si="76"/>
        <v>273232794.45404583</v>
      </c>
      <c r="P295" s="610">
        <f t="shared" si="76"/>
        <v>305520248.28381133</v>
      </c>
      <c r="Q295" s="610">
        <f t="shared" si="76"/>
        <v>300765819.21442115</v>
      </c>
      <c r="R295" s="610">
        <f t="shared" si="76"/>
        <v>238270474.49147913</v>
      </c>
      <c r="S295" s="610">
        <f t="shared" si="76"/>
        <v>287668041.10566258</v>
      </c>
      <c r="T295" s="610">
        <f t="shared" si="76"/>
        <v>358434438.11323756</v>
      </c>
      <c r="U295" s="612">
        <f t="shared" si="76"/>
        <v>357751837.35177112</v>
      </c>
    </row>
    <row r="296" spans="3:22" x14ac:dyDescent="0.35">
      <c r="C296" s="74" t="s">
        <v>582</v>
      </c>
      <c r="D296" s="379"/>
      <c r="E296" s="379"/>
      <c r="F296" s="31"/>
      <c r="I296" s="597">
        <f t="shared" ref="I296:P297" si="77">I$295*$D283</f>
        <v>220747316.51107255</v>
      </c>
      <c r="J296" s="375">
        <f t="shared" si="77"/>
        <v>238000880.42779973</v>
      </c>
      <c r="K296" s="375">
        <f t="shared" si="77"/>
        <v>232705240.99980849</v>
      </c>
      <c r="L296" s="375">
        <f t="shared" si="77"/>
        <v>222048985.59841144</v>
      </c>
      <c r="M296" s="375">
        <f t="shared" si="77"/>
        <v>192115931.93305606</v>
      </c>
      <c r="N296" s="375">
        <f t="shared" si="77"/>
        <v>175601112.00642961</v>
      </c>
      <c r="O296" s="375">
        <f t="shared" si="77"/>
        <v>185798300.22875118</v>
      </c>
      <c r="P296" s="375">
        <f t="shared" si="77"/>
        <v>207753768.83299172</v>
      </c>
      <c r="Q296" s="375">
        <f t="shared" ref="Q296:Q303" si="78">Q$295*$D283</f>
        <v>204520757.06580639</v>
      </c>
      <c r="R296" s="375">
        <f t="shared" ref="R296:T296" si="79">R$295*$D283</f>
        <v>162023922.65420583</v>
      </c>
      <c r="S296" s="375">
        <f t="shared" si="79"/>
        <v>195614267.95185056</v>
      </c>
      <c r="T296" s="375">
        <f t="shared" si="79"/>
        <v>243735417.91700155</v>
      </c>
      <c r="U296" s="376">
        <f t="shared" ref="U296:U303" si="80">U$295*$D283</f>
        <v>243271249.39920437</v>
      </c>
      <c r="V296" s="385" t="e">
        <f>T296*#REF!</f>
        <v>#REF!</v>
      </c>
    </row>
    <row r="297" spans="3:22" x14ac:dyDescent="0.35">
      <c r="C297" s="74" t="s">
        <v>583</v>
      </c>
      <c r="D297" s="379"/>
      <c r="E297" s="379"/>
      <c r="F297" s="31"/>
      <c r="I297" s="597">
        <f>I$295*$D284</f>
        <v>68171965.39312534</v>
      </c>
      <c r="J297" s="375">
        <f t="shared" si="77"/>
        <v>73500271.8968205</v>
      </c>
      <c r="K297" s="375">
        <f t="shared" si="77"/>
        <v>71864853.838176146</v>
      </c>
      <c r="L297" s="375">
        <f t="shared" si="77"/>
        <v>68573951.434803531</v>
      </c>
      <c r="M297" s="375">
        <f t="shared" si="77"/>
        <v>59329920.155796722</v>
      </c>
      <c r="N297" s="375">
        <f t="shared" si="77"/>
        <v>54229755.178456202</v>
      </c>
      <c r="O297" s="375">
        <f t="shared" si="77"/>
        <v>57378886.835349619</v>
      </c>
      <c r="P297" s="375">
        <f t="shared" si="77"/>
        <v>64159252.139600374</v>
      </c>
      <c r="Q297" s="375">
        <f t="shared" si="78"/>
        <v>63160822.035028443</v>
      </c>
      <c r="R297" s="375">
        <f t="shared" ref="R297:T303" si="81">R$295*$D284</f>
        <v>50036799.643210612</v>
      </c>
      <c r="S297" s="375">
        <f t="shared" si="81"/>
        <v>60410288.63218914</v>
      </c>
      <c r="T297" s="375">
        <f t="shared" si="81"/>
        <v>75271232.003779888</v>
      </c>
      <c r="U297" s="376">
        <f t="shared" si="80"/>
        <v>75127885.843871936</v>
      </c>
      <c r="V297" s="385">
        <f>5%*T297</f>
        <v>3763561.6001889948</v>
      </c>
    </row>
    <row r="298" spans="3:22" x14ac:dyDescent="0.35">
      <c r="C298" s="74" t="s">
        <v>560</v>
      </c>
      <c r="D298" s="379"/>
      <c r="E298" s="379"/>
      <c r="F298" s="31"/>
      <c r="I298" s="597">
        <f t="shared" ref="I298:P303" si="82">I$295*$D285</f>
        <v>35709124.72973232</v>
      </c>
      <c r="J298" s="375">
        <f t="shared" si="82"/>
        <v>38500142.42214407</v>
      </c>
      <c r="K298" s="375">
        <f t="shared" si="82"/>
        <v>37643494.867616072</v>
      </c>
      <c r="L298" s="375">
        <f t="shared" si="82"/>
        <v>35919688.846801847</v>
      </c>
      <c r="M298" s="375">
        <f t="shared" si="82"/>
        <v>31077577.224464949</v>
      </c>
      <c r="N298" s="375">
        <f t="shared" si="82"/>
        <v>28406062.236334201</v>
      </c>
      <c r="O298" s="375">
        <f t="shared" si="82"/>
        <v>30055607.389945041</v>
      </c>
      <c r="P298" s="375">
        <f t="shared" si="82"/>
        <v>33607227.311219245</v>
      </c>
      <c r="Q298" s="375">
        <f t="shared" si="78"/>
        <v>33084240.113586325</v>
      </c>
      <c r="R298" s="375">
        <f t="shared" si="81"/>
        <v>26209752.194062706</v>
      </c>
      <c r="S298" s="375">
        <f t="shared" si="81"/>
        <v>31643484.521622885</v>
      </c>
      <c r="T298" s="375">
        <f t="shared" si="81"/>
        <v>39427788.192456134</v>
      </c>
      <c r="U298" s="376">
        <f t="shared" si="80"/>
        <v>39352702.108694822</v>
      </c>
    </row>
    <row r="299" spans="3:22" x14ac:dyDescent="0.35">
      <c r="C299" s="437" t="s">
        <v>584</v>
      </c>
      <c r="D299" s="379"/>
      <c r="E299" s="379"/>
      <c r="F299" s="31"/>
      <c r="I299" s="597">
        <f t="shared" si="82"/>
        <v>8213098.6878384342</v>
      </c>
      <c r="J299" s="375">
        <f t="shared" si="82"/>
        <v>8855032.7570931371</v>
      </c>
      <c r="K299" s="375">
        <f t="shared" si="82"/>
        <v>8658003.819551697</v>
      </c>
      <c r="L299" s="375">
        <f t="shared" si="82"/>
        <v>8261528.4347644253</v>
      </c>
      <c r="M299" s="375">
        <f t="shared" si="82"/>
        <v>7147842.7616269384</v>
      </c>
      <c r="N299" s="375">
        <f t="shared" si="82"/>
        <v>6533394.3143568663</v>
      </c>
      <c r="O299" s="375">
        <f t="shared" si="82"/>
        <v>6912789.6996873599</v>
      </c>
      <c r="P299" s="375">
        <f t="shared" si="82"/>
        <v>7729662.2815804267</v>
      </c>
      <c r="Q299" s="375">
        <f t="shared" si="78"/>
        <v>7609375.2261248548</v>
      </c>
      <c r="R299" s="375">
        <f t="shared" si="81"/>
        <v>6028243.0046344223</v>
      </c>
      <c r="S299" s="375">
        <f>S$295*$D286</f>
        <v>7278001.4399732631</v>
      </c>
      <c r="T299" s="375">
        <f t="shared" si="81"/>
        <v>9068391.284264911</v>
      </c>
      <c r="U299" s="376">
        <f t="shared" si="80"/>
        <v>9051121.4849998094</v>
      </c>
    </row>
    <row r="300" spans="3:22" x14ac:dyDescent="0.35">
      <c r="C300" s="437" t="s">
        <v>585</v>
      </c>
      <c r="D300" s="379"/>
      <c r="E300" s="379"/>
      <c r="F300" s="31"/>
      <c r="I300" s="597">
        <f t="shared" si="82"/>
        <v>18925836.106758133</v>
      </c>
      <c r="J300" s="375">
        <f t="shared" si="82"/>
        <v>20405075.483736359</v>
      </c>
      <c r="K300" s="375">
        <f t="shared" si="82"/>
        <v>19951052.279836521</v>
      </c>
      <c r="L300" s="375">
        <f t="shared" si="82"/>
        <v>19037435.088804983</v>
      </c>
      <c r="M300" s="375">
        <f t="shared" si="82"/>
        <v>16471115.928966423</v>
      </c>
      <c r="N300" s="375">
        <f t="shared" si="82"/>
        <v>15055212.985257128</v>
      </c>
      <c r="O300" s="375">
        <f t="shared" si="82"/>
        <v>15929471.916670874</v>
      </c>
      <c r="P300" s="375">
        <f t="shared" si="82"/>
        <v>17811830.474946201</v>
      </c>
      <c r="Q300" s="375">
        <f t="shared" si="78"/>
        <v>17534647.260200754</v>
      </c>
      <c r="R300" s="375">
        <f t="shared" si="81"/>
        <v>13891168.662853234</v>
      </c>
      <c r="S300" s="375">
        <f>S$295*$D287</f>
        <v>16771046.796460129</v>
      </c>
      <c r="T300" s="375">
        <f t="shared" si="81"/>
        <v>20896727.74200175</v>
      </c>
      <c r="U300" s="376">
        <f t="shared" si="80"/>
        <v>20856932.117608257</v>
      </c>
    </row>
    <row r="301" spans="3:22" x14ac:dyDescent="0.35">
      <c r="C301" s="437" t="s">
        <v>586</v>
      </c>
      <c r="D301" s="379"/>
      <c r="E301" s="379"/>
      <c r="F301" s="31"/>
      <c r="I301" s="597">
        <f t="shared" si="82"/>
        <v>3928003.7202705555</v>
      </c>
      <c r="J301" s="375">
        <f t="shared" si="82"/>
        <v>4235015.666435848</v>
      </c>
      <c r="K301" s="375">
        <f t="shared" si="82"/>
        <v>4140784.4354377682</v>
      </c>
      <c r="L301" s="375">
        <f t="shared" si="82"/>
        <v>3951165.7731482033</v>
      </c>
      <c r="M301" s="375">
        <f t="shared" si="82"/>
        <v>3418533.4946911442</v>
      </c>
      <c r="N301" s="375">
        <f t="shared" si="82"/>
        <v>3124666.8459967622</v>
      </c>
      <c r="O301" s="375">
        <f t="shared" si="82"/>
        <v>3306116.8128939546</v>
      </c>
      <c r="P301" s="375">
        <f t="shared" si="82"/>
        <v>3696795.004234117</v>
      </c>
      <c r="Q301" s="375">
        <f t="shared" si="78"/>
        <v>3639266.412494496</v>
      </c>
      <c r="R301" s="375">
        <f t="shared" si="81"/>
        <v>2883072.7413468976</v>
      </c>
      <c r="S301" s="375">
        <f t="shared" si="81"/>
        <v>3480783.2973785172</v>
      </c>
      <c r="T301" s="375">
        <f t="shared" si="81"/>
        <v>4337056.7011701744</v>
      </c>
      <c r="U301" s="376">
        <f t="shared" si="80"/>
        <v>4328797.2319564307</v>
      </c>
    </row>
    <row r="302" spans="3:22" x14ac:dyDescent="0.35">
      <c r="C302" s="437" t="s">
        <v>587</v>
      </c>
      <c r="D302" s="379"/>
      <c r="E302" s="379"/>
      <c r="F302" s="31"/>
      <c r="I302" s="597">
        <f t="shared" si="82"/>
        <v>2499638.7310812632</v>
      </c>
      <c r="J302" s="375">
        <f t="shared" si="82"/>
        <v>2695009.9695500857</v>
      </c>
      <c r="K302" s="375">
        <f t="shared" si="82"/>
        <v>2635044.6407331256</v>
      </c>
      <c r="L302" s="375">
        <f t="shared" si="82"/>
        <v>2514378.2192761297</v>
      </c>
      <c r="M302" s="375">
        <f t="shared" si="82"/>
        <v>2175430.4057125468</v>
      </c>
      <c r="N302" s="375">
        <f t="shared" si="82"/>
        <v>1988424.3565433943</v>
      </c>
      <c r="O302" s="375">
        <f t="shared" si="82"/>
        <v>2103892.5172961531</v>
      </c>
      <c r="P302" s="375">
        <f t="shared" si="82"/>
        <v>2352505.9117853474</v>
      </c>
      <c r="Q302" s="375">
        <f t="shared" si="78"/>
        <v>2315896.8079510434</v>
      </c>
      <c r="R302" s="375">
        <f t="shared" si="81"/>
        <v>1834682.6535843895</v>
      </c>
      <c r="S302" s="375">
        <f t="shared" si="81"/>
        <v>2215043.9165136022</v>
      </c>
      <c r="T302" s="375">
        <f t="shared" si="81"/>
        <v>2759945.1734719295</v>
      </c>
      <c r="U302" s="376">
        <f>U$295*$D289</f>
        <v>2754689.1476086378</v>
      </c>
    </row>
    <row r="303" spans="3:22" x14ac:dyDescent="0.35">
      <c r="C303" s="437" t="s">
        <v>588</v>
      </c>
      <c r="D303" s="379"/>
      <c r="E303" s="379"/>
      <c r="F303" s="31"/>
      <c r="I303" s="597">
        <f t="shared" si="82"/>
        <v>1785456.2364866163</v>
      </c>
      <c r="J303" s="375">
        <f t="shared" si="82"/>
        <v>1925007.1211072039</v>
      </c>
      <c r="K303" s="375">
        <f t="shared" si="82"/>
        <v>1882174.7433808038</v>
      </c>
      <c r="L303" s="375">
        <f t="shared" si="82"/>
        <v>1795984.4423400925</v>
      </c>
      <c r="M303" s="375">
        <f t="shared" si="82"/>
        <v>1553878.8612232476</v>
      </c>
      <c r="N303" s="375">
        <f t="shared" si="82"/>
        <v>1420303.1118167101</v>
      </c>
      <c r="O303" s="375">
        <f t="shared" si="82"/>
        <v>1502780.3694972522</v>
      </c>
      <c r="P303" s="375">
        <f t="shared" si="82"/>
        <v>1680361.3655609626</v>
      </c>
      <c r="Q303" s="375">
        <f t="shared" si="78"/>
        <v>1654212.0056793166</v>
      </c>
      <c r="R303" s="375">
        <f t="shared" si="81"/>
        <v>1310487.6097031354</v>
      </c>
      <c r="S303" s="375">
        <f t="shared" si="81"/>
        <v>1582174.2260811443</v>
      </c>
      <c r="T303" s="375">
        <f t="shared" si="81"/>
        <v>1971389.4096228068</v>
      </c>
      <c r="U303" s="376">
        <f t="shared" si="80"/>
        <v>1967635.1054347414</v>
      </c>
    </row>
    <row r="304" spans="3:22" x14ac:dyDescent="0.35">
      <c r="C304" s="512" t="s">
        <v>582</v>
      </c>
      <c r="D304" s="379"/>
      <c r="E304" s="379"/>
      <c r="F304" s="31"/>
      <c r="I304" s="613">
        <f t="shared" ref="I304:P311" si="83">I296*I283</f>
        <v>220747316.51107255</v>
      </c>
      <c r="J304" s="436">
        <f t="shared" si="83"/>
        <v>238000880.42779973</v>
      </c>
      <c r="K304" s="436">
        <f t="shared" si="83"/>
        <v>232705240.99980849</v>
      </c>
      <c r="L304" s="436">
        <f t="shared" si="83"/>
        <v>222048985.59841144</v>
      </c>
      <c r="M304" s="436">
        <f t="shared" si="83"/>
        <v>192115931.93305606</v>
      </c>
      <c r="N304" s="436">
        <f t="shared" si="83"/>
        <v>175601112.00642961</v>
      </c>
      <c r="O304" s="436">
        <f t="shared" si="83"/>
        <v>185798300.22875118</v>
      </c>
      <c r="P304" s="436">
        <f t="shared" si="83"/>
        <v>207753768.83299172</v>
      </c>
      <c r="Q304" s="436">
        <f>Q296*Q283</f>
        <v>204520757.06580639</v>
      </c>
      <c r="R304" s="436">
        <f t="shared" ref="R304:U304" si="84">R296*R283</f>
        <v>162023922.65420583</v>
      </c>
      <c r="S304" s="436">
        <f t="shared" si="84"/>
        <v>195614267.95185056</v>
      </c>
      <c r="T304" s="436">
        <f t="shared" si="84"/>
        <v>243735417.91700155</v>
      </c>
      <c r="U304" s="513">
        <f t="shared" si="84"/>
        <v>243271249.39920437</v>
      </c>
    </row>
    <row r="305" spans="3:22" x14ac:dyDescent="0.35">
      <c r="C305" s="512" t="s">
        <v>583</v>
      </c>
      <c r="D305" s="379"/>
      <c r="E305" s="379"/>
      <c r="F305" s="31"/>
      <c r="I305" s="613">
        <f t="shared" si="83"/>
        <v>68171965.39312534</v>
      </c>
      <c r="J305" s="436">
        <f t="shared" si="83"/>
        <v>73500271.8968205</v>
      </c>
      <c r="K305" s="436">
        <f t="shared" si="83"/>
        <v>71864853.838176146</v>
      </c>
      <c r="L305" s="436">
        <f t="shared" si="83"/>
        <v>68573951.434803531</v>
      </c>
      <c r="M305" s="436">
        <f t="shared" si="83"/>
        <v>59329920.155796722</v>
      </c>
      <c r="N305" s="436">
        <f t="shared" si="83"/>
        <v>54229755.178456202</v>
      </c>
      <c r="O305" s="436">
        <f t="shared" si="83"/>
        <v>57378886.835349619</v>
      </c>
      <c r="P305" s="436">
        <f t="shared" si="83"/>
        <v>64159252.139600374</v>
      </c>
      <c r="Q305" s="436">
        <f t="shared" ref="Q305:U311" si="85">Q297*Q284</f>
        <v>63160822.035028443</v>
      </c>
      <c r="R305" s="436">
        <f t="shared" si="85"/>
        <v>50036799.643210612</v>
      </c>
      <c r="S305" s="436">
        <f t="shared" si="85"/>
        <v>60410288.63218914</v>
      </c>
      <c r="T305" s="436">
        <f t="shared" si="85"/>
        <v>75271232.003779888</v>
      </c>
      <c r="U305" s="513">
        <f t="shared" si="85"/>
        <v>75127885.843871936</v>
      </c>
    </row>
    <row r="306" spans="3:22" x14ac:dyDescent="0.35">
      <c r="C306" s="512" t="s">
        <v>560</v>
      </c>
      <c r="D306" s="379"/>
      <c r="E306" s="379"/>
      <c r="F306" s="31"/>
      <c r="I306" s="613">
        <f t="shared" si="83"/>
        <v>0</v>
      </c>
      <c r="J306" s="436">
        <f t="shared" si="83"/>
        <v>0</v>
      </c>
      <c r="K306" s="436">
        <f t="shared" si="83"/>
        <v>0</v>
      </c>
      <c r="L306" s="436">
        <f t="shared" si="83"/>
        <v>0</v>
      </c>
      <c r="M306" s="436">
        <f t="shared" si="83"/>
        <v>0</v>
      </c>
      <c r="N306" s="436">
        <f t="shared" si="83"/>
        <v>0</v>
      </c>
      <c r="O306" s="436">
        <f t="shared" si="83"/>
        <v>0</v>
      </c>
      <c r="P306" s="436">
        <f t="shared" si="83"/>
        <v>0</v>
      </c>
      <c r="Q306" s="436">
        <f t="shared" si="85"/>
        <v>0</v>
      </c>
      <c r="R306" s="436">
        <f t="shared" si="85"/>
        <v>0</v>
      </c>
      <c r="S306" s="436">
        <f t="shared" si="85"/>
        <v>0</v>
      </c>
      <c r="T306" s="436">
        <f>T298*T285</f>
        <v>0</v>
      </c>
      <c r="U306" s="513">
        <f t="shared" si="85"/>
        <v>0</v>
      </c>
    </row>
    <row r="307" spans="3:22" x14ac:dyDescent="0.35">
      <c r="C307" s="514" t="s">
        <v>584</v>
      </c>
      <c r="D307" s="379"/>
      <c r="E307" s="379"/>
      <c r="F307" s="31"/>
      <c r="I307" s="613">
        <f t="shared" si="83"/>
        <v>0</v>
      </c>
      <c r="J307" s="436">
        <f t="shared" si="83"/>
        <v>8855032.7570931371</v>
      </c>
      <c r="K307" s="436">
        <f t="shared" si="83"/>
        <v>8658003.819551697</v>
      </c>
      <c r="L307" s="436">
        <f t="shared" si="83"/>
        <v>8261528.4347644253</v>
      </c>
      <c r="M307" s="436">
        <f t="shared" si="83"/>
        <v>7147842.7616269384</v>
      </c>
      <c r="N307" s="436">
        <f t="shared" si="83"/>
        <v>6533394.3143568663</v>
      </c>
      <c r="O307" s="436">
        <f t="shared" si="83"/>
        <v>6912789.6996873599</v>
      </c>
      <c r="P307" s="436">
        <f t="shared" si="83"/>
        <v>7729662.2815804267</v>
      </c>
      <c r="Q307" s="436">
        <f t="shared" si="85"/>
        <v>7609375.2261248548</v>
      </c>
      <c r="R307" s="436">
        <f t="shared" si="85"/>
        <v>6028243.0046344223</v>
      </c>
      <c r="S307" s="436">
        <f t="shared" si="85"/>
        <v>7278001.4399732631</v>
      </c>
      <c r="T307" s="436">
        <f t="shared" si="85"/>
        <v>9068391.284264911</v>
      </c>
      <c r="U307" s="513">
        <f t="shared" si="85"/>
        <v>9051121.4849998094</v>
      </c>
    </row>
    <row r="308" spans="3:22" x14ac:dyDescent="0.35">
      <c r="C308" s="514" t="s">
        <v>585</v>
      </c>
      <c r="D308" s="379"/>
      <c r="E308" s="379"/>
      <c r="F308" s="31"/>
      <c r="I308" s="613">
        <f t="shared" si="83"/>
        <v>0</v>
      </c>
      <c r="J308" s="436">
        <f t="shared" si="83"/>
        <v>0</v>
      </c>
      <c r="K308" s="436">
        <f t="shared" si="83"/>
        <v>0</v>
      </c>
      <c r="L308" s="436">
        <f t="shared" si="83"/>
        <v>0</v>
      </c>
      <c r="M308" s="436">
        <f t="shared" si="83"/>
        <v>0</v>
      </c>
      <c r="N308" s="436">
        <f t="shared" si="83"/>
        <v>0</v>
      </c>
      <c r="O308" s="436">
        <f t="shared" si="83"/>
        <v>0</v>
      </c>
      <c r="P308" s="436">
        <f t="shared" si="83"/>
        <v>0</v>
      </c>
      <c r="Q308" s="436">
        <f t="shared" si="85"/>
        <v>0</v>
      </c>
      <c r="R308" s="436">
        <f t="shared" si="85"/>
        <v>0</v>
      </c>
      <c r="S308" s="436">
        <f t="shared" si="85"/>
        <v>0</v>
      </c>
      <c r="T308" s="436">
        <f t="shared" si="85"/>
        <v>0</v>
      </c>
      <c r="U308" s="513">
        <f t="shared" si="85"/>
        <v>0</v>
      </c>
    </row>
    <row r="309" spans="3:22" x14ac:dyDescent="0.35">
      <c r="C309" s="514" t="s">
        <v>586</v>
      </c>
      <c r="D309" s="379"/>
      <c r="E309" s="379"/>
      <c r="F309" s="31"/>
      <c r="I309" s="613">
        <f t="shared" si="83"/>
        <v>3928003.7202705555</v>
      </c>
      <c r="J309" s="436">
        <f t="shared" si="83"/>
        <v>4235015.666435848</v>
      </c>
      <c r="K309" s="436">
        <f t="shared" si="83"/>
        <v>4140784.4354377682</v>
      </c>
      <c r="L309" s="436">
        <f t="shared" si="83"/>
        <v>3951165.7731482033</v>
      </c>
      <c r="M309" s="436">
        <f t="shared" si="83"/>
        <v>3418533.4946911442</v>
      </c>
      <c r="N309" s="436">
        <f t="shared" si="83"/>
        <v>3124666.8459967622</v>
      </c>
      <c r="O309" s="436">
        <f t="shared" si="83"/>
        <v>3306116.8128939546</v>
      </c>
      <c r="P309" s="436">
        <f t="shared" si="83"/>
        <v>3696795.004234117</v>
      </c>
      <c r="Q309" s="436">
        <f t="shared" si="85"/>
        <v>3639266.412494496</v>
      </c>
      <c r="R309" s="436">
        <f t="shared" si="85"/>
        <v>2883072.7413468976</v>
      </c>
      <c r="S309" s="436">
        <f t="shared" si="85"/>
        <v>3480783.2973785172</v>
      </c>
      <c r="T309" s="436">
        <f t="shared" si="85"/>
        <v>4337056.7011701744</v>
      </c>
      <c r="U309" s="513">
        <f t="shared" si="85"/>
        <v>4328797.2319564307</v>
      </c>
    </row>
    <row r="310" spans="3:22" x14ac:dyDescent="0.35">
      <c r="C310" s="514" t="s">
        <v>587</v>
      </c>
      <c r="D310" s="379"/>
      <c r="E310" s="379"/>
      <c r="F310" s="31"/>
      <c r="I310" s="613">
        <f t="shared" si="83"/>
        <v>0</v>
      </c>
      <c r="J310" s="436">
        <f t="shared" si="83"/>
        <v>0</v>
      </c>
      <c r="K310" s="436">
        <f t="shared" si="83"/>
        <v>0</v>
      </c>
      <c r="L310" s="436">
        <f t="shared" si="83"/>
        <v>0</v>
      </c>
      <c r="M310" s="436">
        <f t="shared" si="83"/>
        <v>0</v>
      </c>
      <c r="N310" s="436">
        <f t="shared" si="83"/>
        <v>0</v>
      </c>
      <c r="O310" s="436">
        <f t="shared" si="83"/>
        <v>0</v>
      </c>
      <c r="P310" s="436">
        <f t="shared" si="83"/>
        <v>0</v>
      </c>
      <c r="Q310" s="436">
        <f t="shared" si="85"/>
        <v>0</v>
      </c>
      <c r="R310" s="436">
        <f t="shared" si="85"/>
        <v>0</v>
      </c>
      <c r="S310" s="436">
        <f t="shared" si="85"/>
        <v>0</v>
      </c>
      <c r="T310" s="436">
        <f t="shared" si="85"/>
        <v>0</v>
      </c>
      <c r="U310" s="513">
        <f>U302*U289</f>
        <v>0</v>
      </c>
    </row>
    <row r="311" spans="3:22" x14ac:dyDescent="0.35">
      <c r="C311" s="514" t="s">
        <v>588</v>
      </c>
      <c r="D311" s="379"/>
      <c r="E311" s="379"/>
      <c r="F311" s="31"/>
      <c r="I311" s="613">
        <f t="shared" si="83"/>
        <v>1785456.2364866163</v>
      </c>
      <c r="J311" s="436">
        <f t="shared" si="83"/>
        <v>1925007.1211072039</v>
      </c>
      <c r="K311" s="436">
        <f t="shared" si="83"/>
        <v>1882174.7433808038</v>
      </c>
      <c r="L311" s="436">
        <f t="shared" si="83"/>
        <v>1795984.4423400925</v>
      </c>
      <c r="M311" s="436">
        <f t="shared" si="83"/>
        <v>1553878.8612232476</v>
      </c>
      <c r="N311" s="436">
        <f t="shared" si="83"/>
        <v>1420303.1118167101</v>
      </c>
      <c r="O311" s="436">
        <f t="shared" si="83"/>
        <v>1502780.3694972522</v>
      </c>
      <c r="P311" s="436">
        <f t="shared" si="83"/>
        <v>1680361.3655609626</v>
      </c>
      <c r="Q311" s="436">
        <f t="shared" si="85"/>
        <v>1654212.0056793166</v>
      </c>
      <c r="R311" s="436">
        <f t="shared" si="85"/>
        <v>1310487.6097031354</v>
      </c>
      <c r="S311" s="436">
        <f t="shared" si="85"/>
        <v>1582174.2260811443</v>
      </c>
      <c r="T311" s="436">
        <f t="shared" si="85"/>
        <v>1971389.4096228068</v>
      </c>
      <c r="U311" s="513">
        <f t="shared" si="85"/>
        <v>1967635.1054347414</v>
      </c>
    </row>
    <row r="312" spans="3:22" x14ac:dyDescent="0.35">
      <c r="C312" s="514" t="s">
        <v>277</v>
      </c>
      <c r="D312" s="379"/>
      <c r="E312" s="379"/>
      <c r="F312" s="31"/>
      <c r="I312" s="613">
        <f t="shared" ref="I312:P312" si="86">SUM(I304:I311)</f>
        <v>294632741.86095506</v>
      </c>
      <c r="J312" s="436">
        <f t="shared" si="86"/>
        <v>326516207.86925644</v>
      </c>
      <c r="K312" s="436">
        <f t="shared" si="86"/>
        <v>319251057.83635485</v>
      </c>
      <c r="L312" s="436">
        <f t="shared" si="86"/>
        <v>304631615.68346769</v>
      </c>
      <c r="M312" s="436">
        <f t="shared" si="86"/>
        <v>263566107.20639408</v>
      </c>
      <c r="N312" s="436">
        <f t="shared" si="86"/>
        <v>240909231.45705613</v>
      </c>
      <c r="O312" s="436">
        <f t="shared" si="86"/>
        <v>254898873.94617936</v>
      </c>
      <c r="P312" s="436">
        <f t="shared" si="86"/>
        <v>285019839.62396765</v>
      </c>
      <c r="Q312" s="436">
        <f>SUM(Q304:Q311)</f>
        <v>280584432.74513352</v>
      </c>
      <c r="R312" s="436">
        <f t="shared" ref="R312:U312" si="87">SUM(R304:R311)</f>
        <v>222282525.65310088</v>
      </c>
      <c r="S312" s="436">
        <f t="shared" si="87"/>
        <v>268365515.5474726</v>
      </c>
      <c r="T312" s="436">
        <f t="shared" si="87"/>
        <v>334383487.31583929</v>
      </c>
      <c r="U312" s="513">
        <f t="shared" si="87"/>
        <v>333746689.0654673</v>
      </c>
    </row>
    <row r="313" spans="3:22" x14ac:dyDescent="0.35">
      <c r="C313" s="464" t="s">
        <v>484</v>
      </c>
      <c r="D313" s="555"/>
      <c r="E313" s="555"/>
      <c r="F313" s="606"/>
      <c r="I313" s="614"/>
      <c r="J313" s="556"/>
      <c r="K313" s="556"/>
      <c r="L313" s="556"/>
      <c r="M313" s="556"/>
      <c r="N313" s="556"/>
      <c r="O313" s="556"/>
      <c r="P313" s="556"/>
      <c r="Q313" s="556"/>
      <c r="R313" s="556"/>
      <c r="S313" s="556"/>
      <c r="T313" s="556"/>
      <c r="U313" s="377"/>
    </row>
    <row r="314" spans="3:22" x14ac:dyDescent="0.35">
      <c r="C314" s="515" t="s">
        <v>482</v>
      </c>
      <c r="D314" s="379"/>
      <c r="F314" s="31"/>
      <c r="H314" s="584"/>
      <c r="I314" s="615">
        <f>I50</f>
        <v>150759988.55117926</v>
      </c>
      <c r="J314" s="386">
        <f t="shared" ref="J314:U314" si="88">J50</f>
        <v>167671181.45233333</v>
      </c>
      <c r="K314" s="386">
        <f t="shared" si="88"/>
        <v>165942327.97413757</v>
      </c>
      <c r="L314" s="386">
        <f t="shared" si="88"/>
        <v>165593100.64243725</v>
      </c>
      <c r="M314" s="386">
        <f t="shared" si="88"/>
        <v>148319318.9121609</v>
      </c>
      <c r="N314" s="386">
        <f t="shared" si="88"/>
        <v>142733521.38217974</v>
      </c>
      <c r="O314" s="386">
        <f t="shared" si="88"/>
        <v>170866821.22028431</v>
      </c>
      <c r="P314" s="386">
        <f t="shared" si="88"/>
        <v>198667360.99765268</v>
      </c>
      <c r="Q314" s="386">
        <f t="shared" si="88"/>
        <v>202644797.54296622</v>
      </c>
      <c r="R314" s="386">
        <f t="shared" si="88"/>
        <v>166468591.35010388</v>
      </c>
      <c r="S314" s="386">
        <f t="shared" si="88"/>
        <v>197108307.61011773</v>
      </c>
      <c r="T314" s="386">
        <f t="shared" si="88"/>
        <v>263111081.21258521</v>
      </c>
      <c r="U314" s="511">
        <f t="shared" si="88"/>
        <v>251593532.58300263</v>
      </c>
    </row>
    <row r="315" spans="3:22" x14ac:dyDescent="0.35">
      <c r="C315" s="74" t="s">
        <v>582</v>
      </c>
      <c r="D315" s="379"/>
      <c r="F315" s="31"/>
      <c r="I315" s="597">
        <f t="shared" ref="I315:P322" si="89">I$314*$D283</f>
        <v>102516792.21480191</v>
      </c>
      <c r="J315" s="375">
        <f t="shared" si="89"/>
        <v>114016403.38758667</v>
      </c>
      <c r="K315" s="375">
        <f t="shared" si="89"/>
        <v>112840783.02241355</v>
      </c>
      <c r="L315" s="375">
        <f t="shared" si="89"/>
        <v>112603308.43685734</v>
      </c>
      <c r="M315" s="375">
        <f t="shared" si="89"/>
        <v>100857136.86026943</v>
      </c>
      <c r="N315" s="375">
        <f t="shared" si="89"/>
        <v>97058794.539882228</v>
      </c>
      <c r="O315" s="375">
        <f t="shared" si="89"/>
        <v>116189438.42979334</v>
      </c>
      <c r="P315" s="375">
        <f t="shared" si="89"/>
        <v>135093805.47840384</v>
      </c>
      <c r="Q315" s="375">
        <f t="shared" ref="Q315:Q322" si="90">Q$314*$D283</f>
        <v>137798462.32921705</v>
      </c>
      <c r="R315" s="375">
        <f t="shared" ref="R315:U315" si="91">R$314*$D283</f>
        <v>113198642.11807065</v>
      </c>
      <c r="S315" s="375">
        <f t="shared" si="91"/>
        <v>134033649.17488007</v>
      </c>
      <c r="T315" s="375">
        <f t="shared" si="91"/>
        <v>178915535.22455797</v>
      </c>
      <c r="U315" s="376">
        <f t="shared" si="91"/>
        <v>171083602.15644181</v>
      </c>
      <c r="V315" s="385" t="e">
        <f>T315*#REF!</f>
        <v>#REF!</v>
      </c>
    </row>
    <row r="316" spans="3:22" x14ac:dyDescent="0.35">
      <c r="C316" s="74" t="s">
        <v>583</v>
      </c>
      <c r="D316" s="379"/>
      <c r="F316" s="31"/>
      <c r="I316" s="597">
        <f t="shared" si="89"/>
        <v>31659597.595747642</v>
      </c>
      <c r="J316" s="375">
        <f t="shared" si="89"/>
        <v>35210948.104989998</v>
      </c>
      <c r="K316" s="375">
        <f t="shared" si="89"/>
        <v>34847888.874568887</v>
      </c>
      <c r="L316" s="375">
        <f t="shared" si="89"/>
        <v>34774551.13491182</v>
      </c>
      <c r="M316" s="375">
        <f t="shared" si="89"/>
        <v>31147056.971553788</v>
      </c>
      <c r="N316" s="375">
        <f t="shared" si="89"/>
        <v>29974039.490257744</v>
      </c>
      <c r="O316" s="375">
        <f t="shared" si="89"/>
        <v>35882032.456259705</v>
      </c>
      <c r="P316" s="375">
        <f t="shared" si="89"/>
        <v>41720145.809507065</v>
      </c>
      <c r="Q316" s="375">
        <f t="shared" si="90"/>
        <v>42555407.4840229</v>
      </c>
      <c r="R316" s="375">
        <f t="shared" ref="R316:U322" si="92">R$314*$D284</f>
        <v>34958404.183521815</v>
      </c>
      <c r="S316" s="375">
        <f t="shared" si="92"/>
        <v>41392744.59812472</v>
      </c>
      <c r="T316" s="375">
        <f t="shared" si="92"/>
        <v>55253327.054642893</v>
      </c>
      <c r="U316" s="376">
        <f t="shared" si="92"/>
        <v>52834641.842430547</v>
      </c>
      <c r="V316" s="385">
        <f>5%*T316</f>
        <v>2762666.3527321448</v>
      </c>
    </row>
    <row r="317" spans="3:22" x14ac:dyDescent="0.35">
      <c r="C317" s="74" t="s">
        <v>560</v>
      </c>
      <c r="D317" s="379"/>
      <c r="F317" s="31"/>
      <c r="I317" s="597">
        <f t="shared" si="89"/>
        <v>16583598.74062972</v>
      </c>
      <c r="J317" s="375">
        <f t="shared" si="89"/>
        <v>18443829.959756665</v>
      </c>
      <c r="K317" s="375">
        <f t="shared" si="89"/>
        <v>18253656.077155132</v>
      </c>
      <c r="L317" s="375">
        <f t="shared" si="89"/>
        <v>18215241.070668098</v>
      </c>
      <c r="M317" s="375">
        <f t="shared" si="89"/>
        <v>16315125.0803377</v>
      </c>
      <c r="N317" s="375">
        <f t="shared" si="89"/>
        <v>15700687.352039771</v>
      </c>
      <c r="O317" s="375">
        <f t="shared" si="89"/>
        <v>18795350.334231276</v>
      </c>
      <c r="P317" s="375">
        <f t="shared" si="89"/>
        <v>21853409.709741794</v>
      </c>
      <c r="Q317" s="375">
        <f t="shared" si="90"/>
        <v>22290927.729726285</v>
      </c>
      <c r="R317" s="375">
        <f t="shared" si="92"/>
        <v>18311545.048511427</v>
      </c>
      <c r="S317" s="375">
        <f t="shared" si="92"/>
        <v>21681913.837112952</v>
      </c>
      <c r="T317" s="375">
        <f t="shared" si="92"/>
        <v>28942218.933384374</v>
      </c>
      <c r="U317" s="376">
        <f t="shared" si="92"/>
        <v>27675288.584130291</v>
      </c>
    </row>
    <row r="318" spans="3:22" x14ac:dyDescent="0.35">
      <c r="C318" s="437" t="s">
        <v>584</v>
      </c>
      <c r="D318" s="379"/>
      <c r="F318" s="31"/>
      <c r="I318" s="597">
        <f t="shared" si="89"/>
        <v>3814227.7103448352</v>
      </c>
      <c r="J318" s="375">
        <f t="shared" si="89"/>
        <v>4242080.8907440333</v>
      </c>
      <c r="K318" s="375">
        <f t="shared" si="89"/>
        <v>4198340.897745681</v>
      </c>
      <c r="L318" s="375">
        <f t="shared" si="89"/>
        <v>4189505.4462536625</v>
      </c>
      <c r="M318" s="375">
        <f t="shared" si="89"/>
        <v>3752478.7684776708</v>
      </c>
      <c r="N318" s="375">
        <f t="shared" si="89"/>
        <v>3611158.0909691472</v>
      </c>
      <c r="O318" s="375">
        <f t="shared" si="89"/>
        <v>4322930.5768731935</v>
      </c>
      <c r="P318" s="375">
        <f t="shared" si="89"/>
        <v>5026284.2332406128</v>
      </c>
      <c r="Q318" s="375">
        <f t="shared" si="90"/>
        <v>5126913.3778370451</v>
      </c>
      <c r="R318" s="375">
        <f t="shared" si="92"/>
        <v>4211655.3611576278</v>
      </c>
      <c r="S318" s="375">
        <f t="shared" si="92"/>
        <v>4986840.182535979</v>
      </c>
      <c r="T318" s="375">
        <f t="shared" si="92"/>
        <v>6656710.3546784054</v>
      </c>
      <c r="U318" s="376">
        <f t="shared" si="92"/>
        <v>6365316.3743499666</v>
      </c>
    </row>
    <row r="319" spans="3:22" x14ac:dyDescent="0.35">
      <c r="C319" s="437" t="s">
        <v>585</v>
      </c>
      <c r="D319" s="379"/>
      <c r="F319" s="31"/>
      <c r="I319" s="597">
        <f t="shared" si="89"/>
        <v>8789307.3325337507</v>
      </c>
      <c r="J319" s="375">
        <f t="shared" si="89"/>
        <v>9775229.8786710333</v>
      </c>
      <c r="K319" s="375">
        <f t="shared" si="89"/>
        <v>9674437.7208922207</v>
      </c>
      <c r="L319" s="375">
        <f t="shared" si="89"/>
        <v>9654077.7674540933</v>
      </c>
      <c r="M319" s="375">
        <f t="shared" si="89"/>
        <v>8647016.2925789822</v>
      </c>
      <c r="N319" s="375">
        <f t="shared" si="89"/>
        <v>8321364.2965810793</v>
      </c>
      <c r="O319" s="375">
        <f t="shared" si="89"/>
        <v>9961535.6771425754</v>
      </c>
      <c r="P319" s="375">
        <f t="shared" si="89"/>
        <v>11582307.146163153</v>
      </c>
      <c r="Q319" s="375">
        <f t="shared" si="90"/>
        <v>11814191.696754931</v>
      </c>
      <c r="R319" s="375">
        <f t="shared" si="92"/>
        <v>9705118.8757110573</v>
      </c>
      <c r="S319" s="375">
        <f t="shared" si="92"/>
        <v>11491414.333669866</v>
      </c>
      <c r="T319" s="375">
        <f t="shared" si="92"/>
        <v>15339376.03469372</v>
      </c>
      <c r="U319" s="376">
        <f t="shared" si="92"/>
        <v>14667902.949589055</v>
      </c>
    </row>
    <row r="320" spans="3:22" x14ac:dyDescent="0.35">
      <c r="C320" s="437" t="s">
        <v>586</v>
      </c>
      <c r="D320" s="379"/>
      <c r="F320" s="31"/>
      <c r="I320" s="597">
        <f t="shared" si="89"/>
        <v>1824195.861469269</v>
      </c>
      <c r="J320" s="375">
        <f t="shared" si="89"/>
        <v>2028821.2955732332</v>
      </c>
      <c r="K320" s="375">
        <f t="shared" si="89"/>
        <v>2007902.1684870645</v>
      </c>
      <c r="L320" s="375">
        <f t="shared" si="89"/>
        <v>2003676.5177734906</v>
      </c>
      <c r="M320" s="375">
        <f t="shared" si="89"/>
        <v>1794663.7588371469</v>
      </c>
      <c r="N320" s="375">
        <f t="shared" si="89"/>
        <v>1727075.6087243748</v>
      </c>
      <c r="O320" s="375">
        <f t="shared" si="89"/>
        <v>2067488.5367654401</v>
      </c>
      <c r="P320" s="375">
        <f t="shared" si="89"/>
        <v>2403875.0680715973</v>
      </c>
      <c r="Q320" s="375">
        <f t="shared" si="90"/>
        <v>2452002.050269891</v>
      </c>
      <c r="R320" s="375">
        <f t="shared" si="92"/>
        <v>2014269.9553362569</v>
      </c>
      <c r="S320" s="375">
        <f t="shared" si="92"/>
        <v>2385010.5220824247</v>
      </c>
      <c r="T320" s="375">
        <f t="shared" si="92"/>
        <v>3183644.0826722807</v>
      </c>
      <c r="U320" s="376">
        <f t="shared" si="92"/>
        <v>3044281.7442543316</v>
      </c>
    </row>
    <row r="321" spans="3:22" x14ac:dyDescent="0.35">
      <c r="C321" s="437" t="s">
        <v>587</v>
      </c>
      <c r="D321" s="379"/>
      <c r="F321" s="31"/>
      <c r="I321" s="597">
        <f t="shared" si="89"/>
        <v>1160851.9118440805</v>
      </c>
      <c r="J321" s="375">
        <f t="shared" si="89"/>
        <v>1291068.0971829668</v>
      </c>
      <c r="K321" s="375">
        <f t="shared" si="89"/>
        <v>1277755.9254008594</v>
      </c>
      <c r="L321" s="375">
        <f t="shared" si="89"/>
        <v>1275066.874946767</v>
      </c>
      <c r="M321" s="375">
        <f t="shared" si="89"/>
        <v>1142058.7556236391</v>
      </c>
      <c r="N321" s="375">
        <f t="shared" si="89"/>
        <v>1099048.1146427842</v>
      </c>
      <c r="O321" s="375">
        <f t="shared" si="89"/>
        <v>1315674.5233961893</v>
      </c>
      <c r="P321" s="375">
        <f t="shared" si="89"/>
        <v>1529738.6796819258</v>
      </c>
      <c r="Q321" s="375">
        <f t="shared" si="90"/>
        <v>1560364.9410808401</v>
      </c>
      <c r="R321" s="375">
        <f t="shared" si="92"/>
        <v>1281808.1533958002</v>
      </c>
      <c r="S321" s="375">
        <f t="shared" si="92"/>
        <v>1517733.9685979069</v>
      </c>
      <c r="T321" s="375">
        <f t="shared" si="92"/>
        <v>2025955.3253369064</v>
      </c>
      <c r="U321" s="376">
        <f t="shared" si="92"/>
        <v>1937270.2008891206</v>
      </c>
    </row>
    <row r="322" spans="3:22" x14ac:dyDescent="0.35">
      <c r="C322" s="437" t="s">
        <v>588</v>
      </c>
      <c r="D322" s="379"/>
      <c r="F322" s="31"/>
      <c r="I322" s="597">
        <f t="shared" si="89"/>
        <v>829179.93703148596</v>
      </c>
      <c r="J322" s="375">
        <f t="shared" si="89"/>
        <v>922191.49798783346</v>
      </c>
      <c r="K322" s="375">
        <f t="shared" si="89"/>
        <v>912682.80385775678</v>
      </c>
      <c r="L322" s="375">
        <f t="shared" si="89"/>
        <v>910762.05353340495</v>
      </c>
      <c r="M322" s="375">
        <f t="shared" si="89"/>
        <v>815756.25401688507</v>
      </c>
      <c r="N322" s="375">
        <f t="shared" si="89"/>
        <v>785034.3676019886</v>
      </c>
      <c r="O322" s="375">
        <f t="shared" si="89"/>
        <v>939767.5167115638</v>
      </c>
      <c r="P322" s="375">
        <f t="shared" si="89"/>
        <v>1092670.48548709</v>
      </c>
      <c r="Q322" s="375">
        <f t="shared" si="90"/>
        <v>1114546.3864863142</v>
      </c>
      <c r="R322" s="375">
        <f t="shared" si="92"/>
        <v>915577.25242557144</v>
      </c>
      <c r="S322" s="375">
        <f t="shared" si="92"/>
        <v>1084095.6918556476</v>
      </c>
      <c r="T322" s="375">
        <f t="shared" si="92"/>
        <v>1447110.9466692188</v>
      </c>
      <c r="U322" s="376">
        <f t="shared" si="92"/>
        <v>1383764.4292065145</v>
      </c>
    </row>
    <row r="323" spans="3:22" x14ac:dyDescent="0.35">
      <c r="C323" s="512" t="s">
        <v>582</v>
      </c>
      <c r="D323" s="379"/>
      <c r="F323" s="31"/>
      <c r="I323" s="613">
        <f t="shared" ref="I323:P330" si="93">I315*I283</f>
        <v>102516792.21480191</v>
      </c>
      <c r="J323" s="436">
        <f t="shared" si="93"/>
        <v>114016403.38758667</v>
      </c>
      <c r="K323" s="436">
        <f t="shared" si="93"/>
        <v>112840783.02241355</v>
      </c>
      <c r="L323" s="436">
        <f t="shared" si="93"/>
        <v>112603308.43685734</v>
      </c>
      <c r="M323" s="436">
        <f t="shared" si="93"/>
        <v>100857136.86026943</v>
      </c>
      <c r="N323" s="436">
        <f t="shared" si="93"/>
        <v>97058794.539882228</v>
      </c>
      <c r="O323" s="436">
        <f t="shared" si="93"/>
        <v>116189438.42979334</v>
      </c>
      <c r="P323" s="436">
        <f t="shared" si="93"/>
        <v>135093805.47840384</v>
      </c>
      <c r="Q323" s="436">
        <f>Q315*Q283</f>
        <v>137798462.32921705</v>
      </c>
      <c r="R323" s="436">
        <f t="shared" ref="R323:U323" si="94">R315*R283</f>
        <v>113198642.11807065</v>
      </c>
      <c r="S323" s="436">
        <f t="shared" si="94"/>
        <v>134033649.17488007</v>
      </c>
      <c r="T323" s="436">
        <f t="shared" si="94"/>
        <v>178915535.22455797</v>
      </c>
      <c r="U323" s="513">
        <f t="shared" si="94"/>
        <v>171083602.15644181</v>
      </c>
    </row>
    <row r="324" spans="3:22" x14ac:dyDescent="0.35">
      <c r="C324" s="512" t="s">
        <v>583</v>
      </c>
      <c r="D324" s="379"/>
      <c r="F324" s="31"/>
      <c r="I324" s="613">
        <f t="shared" si="93"/>
        <v>31659597.595747642</v>
      </c>
      <c r="J324" s="436">
        <f t="shared" si="93"/>
        <v>35210948.104989998</v>
      </c>
      <c r="K324" s="436">
        <f t="shared" si="93"/>
        <v>34847888.874568887</v>
      </c>
      <c r="L324" s="436">
        <f t="shared" si="93"/>
        <v>34774551.13491182</v>
      </c>
      <c r="M324" s="436">
        <f t="shared" si="93"/>
        <v>31147056.971553788</v>
      </c>
      <c r="N324" s="436">
        <f t="shared" si="93"/>
        <v>29974039.490257744</v>
      </c>
      <c r="O324" s="436">
        <f t="shared" si="93"/>
        <v>35882032.456259705</v>
      </c>
      <c r="P324" s="436">
        <f t="shared" si="93"/>
        <v>41720145.809507065</v>
      </c>
      <c r="Q324" s="436">
        <f t="shared" ref="Q324:U330" si="95">Q316*Q284</f>
        <v>42555407.4840229</v>
      </c>
      <c r="R324" s="436">
        <f t="shared" si="95"/>
        <v>34958404.183521815</v>
      </c>
      <c r="S324" s="436">
        <f t="shared" si="95"/>
        <v>41392744.59812472</v>
      </c>
      <c r="T324" s="436">
        <f t="shared" si="95"/>
        <v>55253327.054642893</v>
      </c>
      <c r="U324" s="513">
        <f t="shared" si="95"/>
        <v>52834641.842430547</v>
      </c>
    </row>
    <row r="325" spans="3:22" x14ac:dyDescent="0.35">
      <c r="C325" s="512" t="s">
        <v>560</v>
      </c>
      <c r="D325" s="379"/>
      <c r="F325" s="31"/>
      <c r="I325" s="613">
        <f t="shared" si="93"/>
        <v>0</v>
      </c>
      <c r="J325" s="436">
        <f t="shared" si="93"/>
        <v>0</v>
      </c>
      <c r="K325" s="436">
        <f t="shared" si="93"/>
        <v>0</v>
      </c>
      <c r="L325" s="436">
        <f t="shared" si="93"/>
        <v>0</v>
      </c>
      <c r="M325" s="436">
        <f t="shared" si="93"/>
        <v>0</v>
      </c>
      <c r="N325" s="436">
        <f t="shared" si="93"/>
        <v>0</v>
      </c>
      <c r="O325" s="436">
        <f t="shared" si="93"/>
        <v>0</v>
      </c>
      <c r="P325" s="436">
        <f t="shared" si="93"/>
        <v>0</v>
      </c>
      <c r="Q325" s="436">
        <f t="shared" si="95"/>
        <v>0</v>
      </c>
      <c r="R325" s="436">
        <f t="shared" si="95"/>
        <v>0</v>
      </c>
      <c r="S325" s="436">
        <f t="shared" si="95"/>
        <v>0</v>
      </c>
      <c r="T325" s="436">
        <f t="shared" si="95"/>
        <v>0</v>
      </c>
      <c r="U325" s="513">
        <f t="shared" si="95"/>
        <v>0</v>
      </c>
    </row>
    <row r="326" spans="3:22" x14ac:dyDescent="0.35">
      <c r="C326" s="514" t="s">
        <v>584</v>
      </c>
      <c r="D326" s="379"/>
      <c r="F326" s="31"/>
      <c r="I326" s="613">
        <f t="shared" si="93"/>
        <v>0</v>
      </c>
      <c r="J326" s="436">
        <f t="shared" si="93"/>
        <v>4242080.8907440333</v>
      </c>
      <c r="K326" s="436">
        <f t="shared" si="93"/>
        <v>4198340.897745681</v>
      </c>
      <c r="L326" s="436">
        <f t="shared" si="93"/>
        <v>4189505.4462536625</v>
      </c>
      <c r="M326" s="436">
        <f t="shared" si="93"/>
        <v>3752478.7684776708</v>
      </c>
      <c r="N326" s="436">
        <f t="shared" si="93"/>
        <v>3611158.0909691472</v>
      </c>
      <c r="O326" s="436">
        <f t="shared" si="93"/>
        <v>4322930.5768731935</v>
      </c>
      <c r="P326" s="436">
        <f t="shared" si="93"/>
        <v>5026284.2332406128</v>
      </c>
      <c r="Q326" s="436">
        <f t="shared" si="95"/>
        <v>5126913.3778370451</v>
      </c>
      <c r="R326" s="436">
        <f t="shared" si="95"/>
        <v>4211655.3611576278</v>
      </c>
      <c r="S326" s="436">
        <f t="shared" si="95"/>
        <v>4986840.182535979</v>
      </c>
      <c r="T326" s="436">
        <f t="shared" si="95"/>
        <v>6656710.3546784054</v>
      </c>
      <c r="U326" s="513">
        <f t="shared" si="95"/>
        <v>6365316.3743499666</v>
      </c>
    </row>
    <row r="327" spans="3:22" x14ac:dyDescent="0.35">
      <c r="C327" s="514" t="s">
        <v>585</v>
      </c>
      <c r="D327" s="379"/>
      <c r="F327" s="31"/>
      <c r="I327" s="613">
        <f t="shared" si="93"/>
        <v>0</v>
      </c>
      <c r="J327" s="436">
        <f t="shared" si="93"/>
        <v>0</v>
      </c>
      <c r="K327" s="436">
        <f t="shared" si="93"/>
        <v>0</v>
      </c>
      <c r="L327" s="436">
        <f t="shared" si="93"/>
        <v>0</v>
      </c>
      <c r="M327" s="436">
        <f t="shared" si="93"/>
        <v>0</v>
      </c>
      <c r="N327" s="436">
        <f t="shared" si="93"/>
        <v>0</v>
      </c>
      <c r="O327" s="436">
        <f t="shared" si="93"/>
        <v>0</v>
      </c>
      <c r="P327" s="436">
        <f t="shared" si="93"/>
        <v>0</v>
      </c>
      <c r="Q327" s="436">
        <f t="shared" si="95"/>
        <v>0</v>
      </c>
      <c r="R327" s="436">
        <f t="shared" si="95"/>
        <v>0</v>
      </c>
      <c r="S327" s="436">
        <f t="shared" si="95"/>
        <v>0</v>
      </c>
      <c r="T327" s="436">
        <f t="shared" si="95"/>
        <v>0</v>
      </c>
      <c r="U327" s="513">
        <f t="shared" si="95"/>
        <v>0</v>
      </c>
    </row>
    <row r="328" spans="3:22" x14ac:dyDescent="0.35">
      <c r="C328" s="514" t="s">
        <v>586</v>
      </c>
      <c r="D328" s="379"/>
      <c r="F328" s="31"/>
      <c r="I328" s="613">
        <f t="shared" si="93"/>
        <v>1824195.861469269</v>
      </c>
      <c r="J328" s="436">
        <f t="shared" si="93"/>
        <v>2028821.2955732332</v>
      </c>
      <c r="K328" s="436">
        <f t="shared" si="93"/>
        <v>2007902.1684870645</v>
      </c>
      <c r="L328" s="436">
        <f t="shared" si="93"/>
        <v>2003676.5177734906</v>
      </c>
      <c r="M328" s="436">
        <f t="shared" si="93"/>
        <v>1794663.7588371469</v>
      </c>
      <c r="N328" s="436">
        <f t="shared" si="93"/>
        <v>1727075.6087243748</v>
      </c>
      <c r="O328" s="436">
        <f t="shared" si="93"/>
        <v>2067488.5367654401</v>
      </c>
      <c r="P328" s="436">
        <f t="shared" si="93"/>
        <v>2403875.0680715973</v>
      </c>
      <c r="Q328" s="436">
        <f t="shared" si="95"/>
        <v>2452002.050269891</v>
      </c>
      <c r="R328" s="436">
        <f t="shared" si="95"/>
        <v>2014269.9553362569</v>
      </c>
      <c r="S328" s="436">
        <f t="shared" si="95"/>
        <v>2385010.5220824247</v>
      </c>
      <c r="T328" s="436">
        <f t="shared" si="95"/>
        <v>3183644.0826722807</v>
      </c>
      <c r="U328" s="513">
        <f t="shared" si="95"/>
        <v>3044281.7442543316</v>
      </c>
    </row>
    <row r="329" spans="3:22" x14ac:dyDescent="0.35">
      <c r="C329" s="514" t="s">
        <v>587</v>
      </c>
      <c r="D329" s="379"/>
      <c r="F329" s="31"/>
      <c r="I329" s="613">
        <f t="shared" si="93"/>
        <v>0</v>
      </c>
      <c r="J329" s="436">
        <f t="shared" si="93"/>
        <v>0</v>
      </c>
      <c r="K329" s="436">
        <f t="shared" si="93"/>
        <v>0</v>
      </c>
      <c r="L329" s="436">
        <f t="shared" si="93"/>
        <v>0</v>
      </c>
      <c r="M329" s="436">
        <f t="shared" si="93"/>
        <v>0</v>
      </c>
      <c r="N329" s="436">
        <f t="shared" si="93"/>
        <v>0</v>
      </c>
      <c r="O329" s="436">
        <f t="shared" si="93"/>
        <v>0</v>
      </c>
      <c r="P329" s="436">
        <f t="shared" si="93"/>
        <v>0</v>
      </c>
      <c r="Q329" s="436">
        <f t="shared" si="95"/>
        <v>0</v>
      </c>
      <c r="R329" s="436">
        <f t="shared" si="95"/>
        <v>0</v>
      </c>
      <c r="S329" s="436">
        <f t="shared" si="95"/>
        <v>0</v>
      </c>
      <c r="T329" s="436">
        <f t="shared" si="95"/>
        <v>0</v>
      </c>
      <c r="U329" s="513">
        <f t="shared" si="95"/>
        <v>0</v>
      </c>
    </row>
    <row r="330" spans="3:22" x14ac:dyDescent="0.35">
      <c r="C330" s="514" t="s">
        <v>588</v>
      </c>
      <c r="D330" s="379"/>
      <c r="F330" s="31"/>
      <c r="I330" s="613">
        <f t="shared" si="93"/>
        <v>829179.93703148596</v>
      </c>
      <c r="J330" s="436">
        <f t="shared" si="93"/>
        <v>922191.49798783346</v>
      </c>
      <c r="K330" s="436">
        <f t="shared" si="93"/>
        <v>912682.80385775678</v>
      </c>
      <c r="L330" s="436">
        <f t="shared" si="93"/>
        <v>910762.05353340495</v>
      </c>
      <c r="M330" s="436">
        <f t="shared" si="93"/>
        <v>815756.25401688507</v>
      </c>
      <c r="N330" s="436">
        <f t="shared" si="93"/>
        <v>785034.3676019886</v>
      </c>
      <c r="O330" s="436">
        <f t="shared" si="93"/>
        <v>939767.5167115638</v>
      </c>
      <c r="P330" s="436">
        <f t="shared" si="93"/>
        <v>1092670.48548709</v>
      </c>
      <c r="Q330" s="436">
        <f t="shared" si="95"/>
        <v>1114546.3864863142</v>
      </c>
      <c r="R330" s="436">
        <f t="shared" si="95"/>
        <v>915577.25242557144</v>
      </c>
      <c r="S330" s="436">
        <f t="shared" si="95"/>
        <v>1084095.6918556476</v>
      </c>
      <c r="T330" s="436">
        <f t="shared" si="95"/>
        <v>1447110.9466692188</v>
      </c>
      <c r="U330" s="513">
        <f t="shared" si="95"/>
        <v>1383764.4292065145</v>
      </c>
    </row>
    <row r="331" spans="3:22" x14ac:dyDescent="0.35">
      <c r="C331" s="514" t="s">
        <v>277</v>
      </c>
      <c r="D331" s="379"/>
      <c r="F331" s="31"/>
      <c r="I331" s="613">
        <f t="shared" ref="I331:P331" si="96">SUM(I323:I330)</f>
        <v>136829765.6090503</v>
      </c>
      <c r="J331" s="436">
        <f t="shared" si="96"/>
        <v>156420445.17688176</v>
      </c>
      <c r="K331" s="436">
        <f t="shared" si="96"/>
        <v>154807597.76707292</v>
      </c>
      <c r="L331" s="436">
        <f t="shared" si="96"/>
        <v>154481803.58932972</v>
      </c>
      <c r="M331" s="436">
        <f t="shared" si="96"/>
        <v>138367092.61315489</v>
      </c>
      <c r="N331" s="436">
        <f t="shared" si="96"/>
        <v>133156102.09743547</v>
      </c>
      <c r="O331" s="436">
        <f t="shared" si="96"/>
        <v>159401657.51640323</v>
      </c>
      <c r="P331" s="436">
        <f t="shared" si="96"/>
        <v>185336781.07471022</v>
      </c>
      <c r="Q331" s="436">
        <f>SUM(Q323:Q330)</f>
        <v>189047331.62783319</v>
      </c>
      <c r="R331" s="436">
        <f t="shared" ref="R331:U331" si="97">SUM(R323:R330)</f>
        <v>155298548.87051192</v>
      </c>
      <c r="S331" s="436">
        <f t="shared" si="97"/>
        <v>183882340.16947883</v>
      </c>
      <c r="T331" s="436">
        <f t="shared" si="97"/>
        <v>245456327.66322073</v>
      </c>
      <c r="U331" s="513">
        <f t="shared" si="97"/>
        <v>234711606.54668313</v>
      </c>
    </row>
    <row r="332" spans="3:22" x14ac:dyDescent="0.35">
      <c r="C332" s="464" t="s">
        <v>485</v>
      </c>
      <c r="D332" s="555"/>
      <c r="E332" s="555"/>
      <c r="F332" s="606"/>
      <c r="I332" s="614"/>
      <c r="J332" s="556"/>
      <c r="K332" s="556"/>
      <c r="L332" s="556"/>
      <c r="M332" s="556"/>
      <c r="N332" s="556"/>
      <c r="O332" s="556"/>
      <c r="P332" s="556"/>
      <c r="Q332" s="556"/>
      <c r="R332" s="556"/>
      <c r="S332" s="556"/>
      <c r="T332" s="556"/>
      <c r="U332" s="377"/>
    </row>
    <row r="333" spans="3:22" x14ac:dyDescent="0.35">
      <c r="C333" s="515" t="s">
        <v>482</v>
      </c>
      <c r="F333" s="31"/>
      <c r="I333" s="615">
        <f>I59</f>
        <v>80604103.896556765</v>
      </c>
      <c r="J333" s="386">
        <f t="shared" ref="J333:U333" si="98">J59</f>
        <v>87406364.906085491</v>
      </c>
      <c r="K333" s="386">
        <f t="shared" si="98"/>
        <v>85697078.523032755</v>
      </c>
      <c r="L333" s="386">
        <f t="shared" si="98"/>
        <v>81852825.473536476</v>
      </c>
      <c r="M333" s="386">
        <f t="shared" si="98"/>
        <v>73752997.631663412</v>
      </c>
      <c r="N333" s="386">
        <f t="shared" si="98"/>
        <v>68846630.996527508</v>
      </c>
      <c r="O333" s="386">
        <f t="shared" si="98"/>
        <v>69792531.486041397</v>
      </c>
      <c r="P333" s="386">
        <f t="shared" si="98"/>
        <v>84644517.039625049</v>
      </c>
      <c r="Q333" s="386">
        <f t="shared" si="98"/>
        <v>85207450.767578378</v>
      </c>
      <c r="R333" s="386">
        <f t="shared" si="98"/>
        <v>70232068.24718146</v>
      </c>
      <c r="S333" s="386">
        <f t="shared" si="98"/>
        <v>85056021.043333322</v>
      </c>
      <c r="T333" s="386">
        <f t="shared" si="98"/>
        <v>112484599.37867735</v>
      </c>
      <c r="U333" s="511">
        <f t="shared" si="98"/>
        <v>107917933.21416271</v>
      </c>
    </row>
    <row r="334" spans="3:22" x14ac:dyDescent="0.35">
      <c r="C334" s="74" t="s">
        <v>582</v>
      </c>
      <c r="F334" s="31"/>
      <c r="I334" s="597">
        <f t="shared" ref="I334:P341" si="99">I$333*$D283</f>
        <v>54810790.649658605</v>
      </c>
      <c r="J334" s="375">
        <f t="shared" si="99"/>
        <v>59436328.136138141</v>
      </c>
      <c r="K334" s="375">
        <f t="shared" si="99"/>
        <v>58274013.395662278</v>
      </c>
      <c r="L334" s="375">
        <f t="shared" si="99"/>
        <v>55659921.32200481</v>
      </c>
      <c r="M334" s="375">
        <f t="shared" si="99"/>
        <v>50152038.389531121</v>
      </c>
      <c r="N334" s="375">
        <f t="shared" si="99"/>
        <v>46815709.077638708</v>
      </c>
      <c r="O334" s="375">
        <f t="shared" si="99"/>
        <v>47458921.410508156</v>
      </c>
      <c r="P334" s="375">
        <f t="shared" si="99"/>
        <v>57558271.586945035</v>
      </c>
      <c r="Q334" s="375">
        <f t="shared" ref="Q334:Q341" si="100">Q$333*$D283</f>
        <v>57941066.5219533</v>
      </c>
      <c r="R334" s="375">
        <f t="shared" ref="R334:U334" si="101">R$333*$D283</f>
        <v>47757806.408083394</v>
      </c>
      <c r="S334" s="375">
        <f t="shared" si="101"/>
        <v>57838094.30946666</v>
      </c>
      <c r="T334" s="375">
        <f t="shared" si="101"/>
        <v>76489527.577500612</v>
      </c>
      <c r="U334" s="376">
        <f t="shared" si="101"/>
        <v>73384194.58563064</v>
      </c>
      <c r="V334" s="385" t="e">
        <f>T334*#REF!</f>
        <v>#REF!</v>
      </c>
    </row>
    <row r="335" spans="3:22" x14ac:dyDescent="0.35">
      <c r="C335" s="74" t="s">
        <v>583</v>
      </c>
      <c r="F335" s="31"/>
      <c r="I335" s="597">
        <f t="shared" si="99"/>
        <v>16926861.818276919</v>
      </c>
      <c r="J335" s="375">
        <f t="shared" si="99"/>
        <v>18355336.630277954</v>
      </c>
      <c r="K335" s="375">
        <f t="shared" si="99"/>
        <v>17996386.489836879</v>
      </c>
      <c r="L335" s="375">
        <f t="shared" si="99"/>
        <v>17189093.349442661</v>
      </c>
      <c r="M335" s="375">
        <f t="shared" si="99"/>
        <v>15488129.502649317</v>
      </c>
      <c r="N335" s="375">
        <f t="shared" si="99"/>
        <v>14457792.509270776</v>
      </c>
      <c r="O335" s="375">
        <f t="shared" si="99"/>
        <v>14656431.612068692</v>
      </c>
      <c r="P335" s="375">
        <f t="shared" si="99"/>
        <v>17775348.578321259</v>
      </c>
      <c r="Q335" s="375">
        <f t="shared" si="100"/>
        <v>17893564.66119146</v>
      </c>
      <c r="R335" s="375">
        <f t="shared" ref="R335:U341" si="102">R$333*$D284</f>
        <v>14748734.331908107</v>
      </c>
      <c r="S335" s="375">
        <f t="shared" si="102"/>
        <v>17861764.419099998</v>
      </c>
      <c r="T335" s="375">
        <f t="shared" si="102"/>
        <v>23621765.869522244</v>
      </c>
      <c r="U335" s="376">
        <f t="shared" si="102"/>
        <v>22662765.974974167</v>
      </c>
      <c r="V335" s="385">
        <f>5%*T335</f>
        <v>1181088.2934761122</v>
      </c>
    </row>
    <row r="336" spans="3:22" x14ac:dyDescent="0.35">
      <c r="C336" s="74" t="s">
        <v>560</v>
      </c>
      <c r="F336" s="31"/>
      <c r="I336" s="597">
        <f t="shared" si="99"/>
        <v>8866451.4286212437</v>
      </c>
      <c r="J336" s="375">
        <f t="shared" si="99"/>
        <v>9614700.1396694034</v>
      </c>
      <c r="K336" s="375">
        <f t="shared" si="99"/>
        <v>9426678.6375336032</v>
      </c>
      <c r="L336" s="375">
        <f t="shared" si="99"/>
        <v>9003810.8020890132</v>
      </c>
      <c r="M336" s="375">
        <f t="shared" si="99"/>
        <v>8112829.7394829756</v>
      </c>
      <c r="N336" s="375">
        <f t="shared" si="99"/>
        <v>7573129.4096180256</v>
      </c>
      <c r="O336" s="375">
        <f t="shared" si="99"/>
        <v>7677178.4634645535</v>
      </c>
      <c r="P336" s="375">
        <f t="shared" si="99"/>
        <v>9310896.8743587546</v>
      </c>
      <c r="Q336" s="375">
        <f t="shared" si="100"/>
        <v>9372819.5844336208</v>
      </c>
      <c r="R336" s="375">
        <f t="shared" si="102"/>
        <v>7725527.5071899602</v>
      </c>
      <c r="S336" s="375">
        <f t="shared" si="102"/>
        <v>9356162.3147666659</v>
      </c>
      <c r="T336" s="375">
        <f t="shared" si="102"/>
        <v>12373305.931654509</v>
      </c>
      <c r="U336" s="376">
        <f t="shared" si="102"/>
        <v>11870972.653557898</v>
      </c>
    </row>
    <row r="337" spans="3:21" x14ac:dyDescent="0.35">
      <c r="C337" s="437" t="s">
        <v>584</v>
      </c>
      <c r="F337" s="31"/>
      <c r="I337" s="597">
        <f t="shared" si="99"/>
        <v>2039283.8285828861</v>
      </c>
      <c r="J337" s="375">
        <f t="shared" si="99"/>
        <v>2211381.0321239629</v>
      </c>
      <c r="K337" s="375">
        <f t="shared" si="99"/>
        <v>2168136.0866327286</v>
      </c>
      <c r="L337" s="375">
        <f t="shared" si="99"/>
        <v>2070876.4844804727</v>
      </c>
      <c r="M337" s="375">
        <f t="shared" si="99"/>
        <v>1865950.8400810843</v>
      </c>
      <c r="N337" s="375">
        <f t="shared" si="99"/>
        <v>1741819.7642121459</v>
      </c>
      <c r="O337" s="375">
        <f t="shared" si="99"/>
        <v>1765751.0465968472</v>
      </c>
      <c r="P337" s="375">
        <f t="shared" si="99"/>
        <v>2141506.2811025139</v>
      </c>
      <c r="Q337" s="375">
        <f t="shared" si="100"/>
        <v>2155748.5044197328</v>
      </c>
      <c r="R337" s="375">
        <f t="shared" si="102"/>
        <v>1776871.326653691</v>
      </c>
      <c r="S337" s="375">
        <f t="shared" si="102"/>
        <v>2151917.3323963331</v>
      </c>
      <c r="T337" s="375">
        <f t="shared" si="102"/>
        <v>2845860.3642805368</v>
      </c>
      <c r="U337" s="376">
        <f t="shared" si="102"/>
        <v>2730323.7103183162</v>
      </c>
    </row>
    <row r="338" spans="3:21" x14ac:dyDescent="0.35">
      <c r="C338" s="437" t="s">
        <v>585</v>
      </c>
      <c r="F338" s="31"/>
      <c r="I338" s="597">
        <f t="shared" si="99"/>
        <v>4699219.2571692597</v>
      </c>
      <c r="J338" s="375">
        <f t="shared" si="99"/>
        <v>5095791.0740247844</v>
      </c>
      <c r="K338" s="375">
        <f t="shared" si="99"/>
        <v>4996139.6778928097</v>
      </c>
      <c r="L338" s="375">
        <f t="shared" si="99"/>
        <v>4772019.7251071772</v>
      </c>
      <c r="M338" s="375">
        <f t="shared" si="99"/>
        <v>4299799.7619259777</v>
      </c>
      <c r="N338" s="375">
        <f t="shared" si="99"/>
        <v>4013758.587097554</v>
      </c>
      <c r="O338" s="375">
        <f t="shared" si="99"/>
        <v>4068904.5856362139</v>
      </c>
      <c r="P338" s="375">
        <f t="shared" si="99"/>
        <v>4934775.3434101408</v>
      </c>
      <c r="Q338" s="375">
        <f t="shared" si="100"/>
        <v>4967594.3797498196</v>
      </c>
      <c r="R338" s="375">
        <f t="shared" si="102"/>
        <v>4094529.5788106793</v>
      </c>
      <c r="S338" s="375">
        <f t="shared" si="102"/>
        <v>4958766.0268263333</v>
      </c>
      <c r="T338" s="375">
        <f t="shared" si="102"/>
        <v>6557852.1437768899</v>
      </c>
      <c r="U338" s="376">
        <f t="shared" si="102"/>
        <v>6291615.5063856859</v>
      </c>
    </row>
    <row r="339" spans="3:21" x14ac:dyDescent="0.35">
      <c r="C339" s="437" t="s">
        <v>586</v>
      </c>
      <c r="F339" s="31"/>
      <c r="I339" s="597">
        <f t="shared" si="99"/>
        <v>975309.65714833688</v>
      </c>
      <c r="J339" s="375">
        <f t="shared" si="99"/>
        <v>1057617.0153636343</v>
      </c>
      <c r="K339" s="375">
        <f t="shared" si="99"/>
        <v>1036934.6501286963</v>
      </c>
      <c r="L339" s="375">
        <f t="shared" si="99"/>
        <v>990419.18822979135</v>
      </c>
      <c r="M339" s="375">
        <f t="shared" si="99"/>
        <v>892411.27134312724</v>
      </c>
      <c r="N339" s="375">
        <f t="shared" si="99"/>
        <v>833044.23505798285</v>
      </c>
      <c r="O339" s="375">
        <f t="shared" si="99"/>
        <v>844489.63098110084</v>
      </c>
      <c r="P339" s="375">
        <f t="shared" si="99"/>
        <v>1024198.656179463</v>
      </c>
      <c r="Q339" s="375">
        <f t="shared" si="100"/>
        <v>1031010.1542876983</v>
      </c>
      <c r="R339" s="375">
        <f t="shared" si="102"/>
        <v>849808.02579089568</v>
      </c>
      <c r="S339" s="375">
        <f t="shared" si="102"/>
        <v>1029177.8546243332</v>
      </c>
      <c r="T339" s="375">
        <f t="shared" si="102"/>
        <v>1361063.652481996</v>
      </c>
      <c r="U339" s="376">
        <f t="shared" si="102"/>
        <v>1305806.9918913688</v>
      </c>
    </row>
    <row r="340" spans="3:21" x14ac:dyDescent="0.35">
      <c r="C340" s="437" t="s">
        <v>587</v>
      </c>
      <c r="F340" s="31"/>
      <c r="I340" s="597">
        <f t="shared" si="99"/>
        <v>620651.6000034872</v>
      </c>
      <c r="J340" s="375">
        <f t="shared" si="99"/>
        <v>673029.00977685838</v>
      </c>
      <c r="K340" s="375">
        <f t="shared" si="99"/>
        <v>659867.50462735235</v>
      </c>
      <c r="L340" s="375">
        <f t="shared" si="99"/>
        <v>630266.75614623097</v>
      </c>
      <c r="M340" s="375">
        <f t="shared" si="99"/>
        <v>567898.08176380838</v>
      </c>
      <c r="N340" s="375">
        <f t="shared" si="99"/>
        <v>530119.0586732619</v>
      </c>
      <c r="O340" s="375">
        <f t="shared" si="99"/>
        <v>537402.49244251882</v>
      </c>
      <c r="P340" s="375">
        <f t="shared" si="99"/>
        <v>651762.78120511293</v>
      </c>
      <c r="Q340" s="375">
        <f t="shared" si="100"/>
        <v>656097.37091035361</v>
      </c>
      <c r="R340" s="375">
        <f t="shared" si="102"/>
        <v>540786.92550329736</v>
      </c>
      <c r="S340" s="375">
        <f t="shared" si="102"/>
        <v>654931.36203366669</v>
      </c>
      <c r="T340" s="375">
        <f t="shared" si="102"/>
        <v>866131.41521581577</v>
      </c>
      <c r="U340" s="376">
        <f t="shared" si="102"/>
        <v>830968.08574905293</v>
      </c>
    </row>
    <row r="341" spans="3:21" x14ac:dyDescent="0.35">
      <c r="C341" s="437" t="s">
        <v>588</v>
      </c>
      <c r="F341" s="31"/>
      <c r="I341" s="597">
        <f t="shared" si="99"/>
        <v>443322.57143106224</v>
      </c>
      <c r="J341" s="375">
        <f t="shared" si="99"/>
        <v>480735.00698347023</v>
      </c>
      <c r="K341" s="375">
        <f t="shared" si="99"/>
        <v>471333.93187668017</v>
      </c>
      <c r="L341" s="375">
        <f t="shared" si="99"/>
        <v>450190.54010445066</v>
      </c>
      <c r="M341" s="375">
        <f t="shared" si="99"/>
        <v>405641.48697414878</v>
      </c>
      <c r="N341" s="375">
        <f t="shared" si="99"/>
        <v>378656.47048090131</v>
      </c>
      <c r="O341" s="375">
        <f t="shared" si="99"/>
        <v>383858.9231732277</v>
      </c>
      <c r="P341" s="375">
        <f t="shared" si="99"/>
        <v>465544.84371793782</v>
      </c>
      <c r="Q341" s="375">
        <f t="shared" si="100"/>
        <v>468640.97922168113</v>
      </c>
      <c r="R341" s="375">
        <f t="shared" si="102"/>
        <v>386276.37535949808</v>
      </c>
      <c r="S341" s="375">
        <f t="shared" si="102"/>
        <v>467808.11573833332</v>
      </c>
      <c r="T341" s="375">
        <f t="shared" si="102"/>
        <v>618665.29658272548</v>
      </c>
      <c r="U341" s="376">
        <f t="shared" si="102"/>
        <v>593548.6326778949</v>
      </c>
    </row>
    <row r="342" spans="3:21" x14ac:dyDescent="0.35">
      <c r="C342" s="512" t="s">
        <v>582</v>
      </c>
      <c r="F342" s="31"/>
      <c r="I342" s="613">
        <f t="shared" ref="I342:P349" si="103">I334*I283</f>
        <v>54810790.649658605</v>
      </c>
      <c r="J342" s="436">
        <f t="shared" si="103"/>
        <v>59436328.136138141</v>
      </c>
      <c r="K342" s="436">
        <f t="shared" si="103"/>
        <v>58274013.395662278</v>
      </c>
      <c r="L342" s="436">
        <f t="shared" si="103"/>
        <v>55659921.32200481</v>
      </c>
      <c r="M342" s="436">
        <f t="shared" si="103"/>
        <v>50152038.389531121</v>
      </c>
      <c r="N342" s="436">
        <f t="shared" si="103"/>
        <v>46815709.077638708</v>
      </c>
      <c r="O342" s="436">
        <f t="shared" si="103"/>
        <v>47458921.410508156</v>
      </c>
      <c r="P342" s="436">
        <f t="shared" si="103"/>
        <v>57558271.586945035</v>
      </c>
      <c r="Q342" s="436">
        <f>Q334*Q283</f>
        <v>57941066.5219533</v>
      </c>
      <c r="R342" s="436">
        <f t="shared" ref="R342:U342" si="104">R334*R283</f>
        <v>47757806.408083394</v>
      </c>
      <c r="S342" s="436">
        <f t="shared" si="104"/>
        <v>57838094.30946666</v>
      </c>
      <c r="T342" s="436">
        <f t="shared" si="104"/>
        <v>76489527.577500612</v>
      </c>
      <c r="U342" s="513">
        <f t="shared" si="104"/>
        <v>73384194.58563064</v>
      </c>
    </row>
    <row r="343" spans="3:21" x14ac:dyDescent="0.35">
      <c r="C343" s="512" t="s">
        <v>583</v>
      </c>
      <c r="F343" s="31"/>
      <c r="I343" s="613">
        <f t="shared" si="103"/>
        <v>16926861.818276919</v>
      </c>
      <c r="J343" s="436">
        <f t="shared" si="103"/>
        <v>18355336.630277954</v>
      </c>
      <c r="K343" s="436">
        <f t="shared" si="103"/>
        <v>17996386.489836879</v>
      </c>
      <c r="L343" s="436">
        <f t="shared" si="103"/>
        <v>17189093.349442661</v>
      </c>
      <c r="M343" s="436">
        <f t="shared" si="103"/>
        <v>15488129.502649317</v>
      </c>
      <c r="N343" s="436">
        <f t="shared" si="103"/>
        <v>14457792.509270776</v>
      </c>
      <c r="O343" s="436">
        <f t="shared" si="103"/>
        <v>14656431.612068692</v>
      </c>
      <c r="P343" s="436">
        <f t="shared" si="103"/>
        <v>17775348.578321259</v>
      </c>
      <c r="Q343" s="436">
        <f t="shared" ref="Q343:U349" si="105">Q335*Q284</f>
        <v>17893564.66119146</v>
      </c>
      <c r="R343" s="436">
        <f t="shared" si="105"/>
        <v>14748734.331908107</v>
      </c>
      <c r="S343" s="436">
        <f t="shared" si="105"/>
        <v>17861764.419099998</v>
      </c>
      <c r="T343" s="436">
        <f t="shared" si="105"/>
        <v>23621765.869522244</v>
      </c>
      <c r="U343" s="513">
        <f t="shared" si="105"/>
        <v>22662765.974974167</v>
      </c>
    </row>
    <row r="344" spans="3:21" x14ac:dyDescent="0.35">
      <c r="C344" s="512" t="s">
        <v>560</v>
      </c>
      <c r="F344" s="31"/>
      <c r="I344" s="613">
        <f t="shared" si="103"/>
        <v>0</v>
      </c>
      <c r="J344" s="436">
        <f t="shared" si="103"/>
        <v>0</v>
      </c>
      <c r="K344" s="436">
        <f t="shared" si="103"/>
        <v>0</v>
      </c>
      <c r="L344" s="436">
        <f t="shared" si="103"/>
        <v>0</v>
      </c>
      <c r="M344" s="436">
        <f t="shared" si="103"/>
        <v>0</v>
      </c>
      <c r="N344" s="436">
        <f t="shared" si="103"/>
        <v>0</v>
      </c>
      <c r="O344" s="436">
        <f t="shared" si="103"/>
        <v>0</v>
      </c>
      <c r="P344" s="436">
        <f t="shared" si="103"/>
        <v>0</v>
      </c>
      <c r="Q344" s="436">
        <f t="shared" si="105"/>
        <v>0</v>
      </c>
      <c r="R344" s="436">
        <f t="shared" si="105"/>
        <v>0</v>
      </c>
      <c r="S344" s="436">
        <f t="shared" si="105"/>
        <v>0</v>
      </c>
      <c r="T344" s="436">
        <f t="shared" si="105"/>
        <v>0</v>
      </c>
      <c r="U344" s="513">
        <f t="shared" si="105"/>
        <v>0</v>
      </c>
    </row>
    <row r="345" spans="3:21" x14ac:dyDescent="0.35">
      <c r="C345" s="514" t="s">
        <v>584</v>
      </c>
      <c r="F345" s="31"/>
      <c r="I345" s="613">
        <f t="shared" si="103"/>
        <v>0</v>
      </c>
      <c r="J345" s="436">
        <f t="shared" si="103"/>
        <v>2211381.0321239629</v>
      </c>
      <c r="K345" s="436">
        <f t="shared" si="103"/>
        <v>2168136.0866327286</v>
      </c>
      <c r="L345" s="436">
        <f t="shared" si="103"/>
        <v>2070876.4844804727</v>
      </c>
      <c r="M345" s="436">
        <f t="shared" si="103"/>
        <v>1865950.8400810843</v>
      </c>
      <c r="N345" s="436">
        <f t="shared" si="103"/>
        <v>1741819.7642121459</v>
      </c>
      <c r="O345" s="436">
        <f t="shared" si="103"/>
        <v>1765751.0465968472</v>
      </c>
      <c r="P345" s="436">
        <f t="shared" si="103"/>
        <v>2141506.2811025139</v>
      </c>
      <c r="Q345" s="436">
        <f t="shared" si="105"/>
        <v>2155748.5044197328</v>
      </c>
      <c r="R345" s="436">
        <f t="shared" si="105"/>
        <v>1776871.326653691</v>
      </c>
      <c r="S345" s="436">
        <f t="shared" si="105"/>
        <v>2151917.3323963331</v>
      </c>
      <c r="T345" s="436">
        <f t="shared" si="105"/>
        <v>2845860.3642805368</v>
      </c>
      <c r="U345" s="513">
        <f t="shared" si="105"/>
        <v>2730323.7103183162</v>
      </c>
    </row>
    <row r="346" spans="3:21" x14ac:dyDescent="0.35">
      <c r="C346" s="514" t="s">
        <v>585</v>
      </c>
      <c r="F346" s="31"/>
      <c r="I346" s="613">
        <f t="shared" si="103"/>
        <v>0</v>
      </c>
      <c r="J346" s="436">
        <f t="shared" si="103"/>
        <v>0</v>
      </c>
      <c r="K346" s="436">
        <f t="shared" si="103"/>
        <v>0</v>
      </c>
      <c r="L346" s="436">
        <f t="shared" si="103"/>
        <v>0</v>
      </c>
      <c r="M346" s="436">
        <f t="shared" si="103"/>
        <v>0</v>
      </c>
      <c r="N346" s="436">
        <f t="shared" si="103"/>
        <v>0</v>
      </c>
      <c r="O346" s="436">
        <f t="shared" si="103"/>
        <v>0</v>
      </c>
      <c r="P346" s="436">
        <f t="shared" si="103"/>
        <v>0</v>
      </c>
      <c r="Q346" s="436">
        <f t="shared" si="105"/>
        <v>0</v>
      </c>
      <c r="R346" s="436">
        <f t="shared" si="105"/>
        <v>0</v>
      </c>
      <c r="S346" s="436">
        <f t="shared" si="105"/>
        <v>0</v>
      </c>
      <c r="T346" s="436">
        <f t="shared" si="105"/>
        <v>0</v>
      </c>
      <c r="U346" s="513">
        <f t="shared" si="105"/>
        <v>0</v>
      </c>
    </row>
    <row r="347" spans="3:21" x14ac:dyDescent="0.35">
      <c r="C347" s="514" t="s">
        <v>586</v>
      </c>
      <c r="F347" s="31"/>
      <c r="I347" s="613">
        <f t="shared" si="103"/>
        <v>975309.65714833688</v>
      </c>
      <c r="J347" s="436">
        <f t="shared" si="103"/>
        <v>1057617.0153636343</v>
      </c>
      <c r="K347" s="436">
        <f t="shared" si="103"/>
        <v>1036934.6501286963</v>
      </c>
      <c r="L347" s="436">
        <f t="shared" si="103"/>
        <v>990419.18822979135</v>
      </c>
      <c r="M347" s="436">
        <f t="shared" si="103"/>
        <v>892411.27134312724</v>
      </c>
      <c r="N347" s="436">
        <f t="shared" si="103"/>
        <v>833044.23505798285</v>
      </c>
      <c r="O347" s="436">
        <f t="shared" si="103"/>
        <v>844489.63098110084</v>
      </c>
      <c r="P347" s="436">
        <f t="shared" si="103"/>
        <v>1024198.656179463</v>
      </c>
      <c r="Q347" s="436">
        <f t="shared" si="105"/>
        <v>1031010.1542876983</v>
      </c>
      <c r="R347" s="436">
        <f t="shared" si="105"/>
        <v>849808.02579089568</v>
      </c>
      <c r="S347" s="436">
        <f t="shared" si="105"/>
        <v>1029177.8546243332</v>
      </c>
      <c r="T347" s="436">
        <f t="shared" si="105"/>
        <v>1361063.652481996</v>
      </c>
      <c r="U347" s="513">
        <f t="shared" si="105"/>
        <v>1305806.9918913688</v>
      </c>
    </row>
    <row r="348" spans="3:21" x14ac:dyDescent="0.35">
      <c r="C348" s="514" t="s">
        <v>587</v>
      </c>
      <c r="F348" s="31"/>
      <c r="I348" s="613">
        <f t="shared" si="103"/>
        <v>0</v>
      </c>
      <c r="J348" s="436">
        <f t="shared" si="103"/>
        <v>0</v>
      </c>
      <c r="K348" s="436">
        <f t="shared" si="103"/>
        <v>0</v>
      </c>
      <c r="L348" s="436">
        <f t="shared" si="103"/>
        <v>0</v>
      </c>
      <c r="M348" s="436">
        <f t="shared" si="103"/>
        <v>0</v>
      </c>
      <c r="N348" s="436">
        <f t="shared" si="103"/>
        <v>0</v>
      </c>
      <c r="O348" s="436">
        <f t="shared" si="103"/>
        <v>0</v>
      </c>
      <c r="P348" s="436">
        <f t="shared" si="103"/>
        <v>0</v>
      </c>
      <c r="Q348" s="436">
        <f t="shared" si="105"/>
        <v>0</v>
      </c>
      <c r="R348" s="436">
        <f t="shared" si="105"/>
        <v>0</v>
      </c>
      <c r="S348" s="436">
        <f t="shared" si="105"/>
        <v>0</v>
      </c>
      <c r="T348" s="436">
        <f t="shared" si="105"/>
        <v>0</v>
      </c>
      <c r="U348" s="513">
        <f t="shared" si="105"/>
        <v>0</v>
      </c>
    </row>
    <row r="349" spans="3:21" x14ac:dyDescent="0.35">
      <c r="C349" s="514" t="s">
        <v>588</v>
      </c>
      <c r="F349" s="31"/>
      <c r="I349" s="613">
        <f t="shared" si="103"/>
        <v>443322.57143106224</v>
      </c>
      <c r="J349" s="436">
        <f t="shared" si="103"/>
        <v>480735.00698347023</v>
      </c>
      <c r="K349" s="436">
        <f t="shared" si="103"/>
        <v>471333.93187668017</v>
      </c>
      <c r="L349" s="436">
        <f t="shared" si="103"/>
        <v>450190.54010445066</v>
      </c>
      <c r="M349" s="436">
        <f t="shared" si="103"/>
        <v>405641.48697414878</v>
      </c>
      <c r="N349" s="436">
        <f t="shared" si="103"/>
        <v>378656.47048090131</v>
      </c>
      <c r="O349" s="436">
        <f t="shared" si="103"/>
        <v>383858.9231732277</v>
      </c>
      <c r="P349" s="436">
        <f t="shared" si="103"/>
        <v>465544.84371793782</v>
      </c>
      <c r="Q349" s="436">
        <f t="shared" si="105"/>
        <v>468640.97922168113</v>
      </c>
      <c r="R349" s="436">
        <f t="shared" si="105"/>
        <v>386276.37535949808</v>
      </c>
      <c r="S349" s="436">
        <f t="shared" si="105"/>
        <v>467808.11573833332</v>
      </c>
      <c r="T349" s="436">
        <f t="shared" si="105"/>
        <v>618665.29658272548</v>
      </c>
      <c r="U349" s="513">
        <f t="shared" si="105"/>
        <v>593548.6326778949</v>
      </c>
    </row>
    <row r="350" spans="3:21" x14ac:dyDescent="0.35">
      <c r="C350" s="514" t="s">
        <v>277</v>
      </c>
      <c r="F350" s="31"/>
      <c r="I350" s="613">
        <f t="shared" ref="I350:P350" si="106">SUM(I342:I349)</f>
        <v>73156284.696514919</v>
      </c>
      <c r="J350" s="436">
        <f t="shared" si="106"/>
        <v>81541397.820887178</v>
      </c>
      <c r="K350" s="436">
        <f t="shared" si="106"/>
        <v>79946804.554137245</v>
      </c>
      <c r="L350" s="436">
        <f t="shared" si="106"/>
        <v>76360500.884262174</v>
      </c>
      <c r="M350" s="436">
        <f t="shared" si="106"/>
        <v>68804171.4905788</v>
      </c>
      <c r="N350" s="436">
        <f t="shared" si="106"/>
        <v>64227022.056660518</v>
      </c>
      <c r="O350" s="436">
        <f t="shared" si="106"/>
        <v>65109452.623328023</v>
      </c>
      <c r="P350" s="436">
        <f t="shared" si="106"/>
        <v>78964869.946266189</v>
      </c>
      <c r="Q350" s="436">
        <f>SUM(Q342:Q349)</f>
        <v>79490030.821073875</v>
      </c>
      <c r="R350" s="436">
        <f t="shared" ref="R350:U350" si="107">SUM(R342:R349)</f>
        <v>65519496.467795581</v>
      </c>
      <c r="S350" s="436">
        <f t="shared" si="107"/>
        <v>79348762.031325653</v>
      </c>
      <c r="T350" s="436">
        <f t="shared" si="107"/>
        <v>104936882.76036812</v>
      </c>
      <c r="U350" s="513">
        <f t="shared" si="107"/>
        <v>100676639.89549239</v>
      </c>
    </row>
    <row r="351" spans="3:21" x14ac:dyDescent="0.35">
      <c r="C351" s="464" t="s">
        <v>486</v>
      </c>
      <c r="D351" s="555"/>
      <c r="E351" s="555"/>
      <c r="F351" s="606"/>
      <c r="I351" s="614"/>
      <c r="J351" s="556"/>
      <c r="K351" s="556"/>
      <c r="L351" s="556"/>
      <c r="M351" s="556"/>
      <c r="N351" s="556"/>
      <c r="O351" s="556"/>
      <c r="P351" s="556"/>
      <c r="Q351" s="556"/>
      <c r="R351" s="556"/>
      <c r="S351" s="556"/>
      <c r="T351" s="556"/>
      <c r="U351" s="377"/>
    </row>
    <row r="352" spans="3:21" x14ac:dyDescent="0.35">
      <c r="C352" s="515" t="s">
        <v>482</v>
      </c>
      <c r="F352" s="31"/>
      <c r="I352" s="615">
        <f>I68</f>
        <v>120562668.38846363</v>
      </c>
      <c r="J352" s="386">
        <f t="shared" ref="J352:U352" si="108">J68</f>
        <v>135673682.09690931</v>
      </c>
      <c r="K352" s="386">
        <f t="shared" si="108"/>
        <v>136694283.6278387</v>
      </c>
      <c r="L352" s="386">
        <f t="shared" si="108"/>
        <v>122291471.80973436</v>
      </c>
      <c r="M352" s="386">
        <f t="shared" si="108"/>
        <v>106715017.52753429</v>
      </c>
      <c r="N352" s="386">
        <f t="shared" si="108"/>
        <v>96817421.409659445</v>
      </c>
      <c r="O352" s="386">
        <f t="shared" si="108"/>
        <v>106208133.1047865</v>
      </c>
      <c r="P352" s="386">
        <f t="shared" si="108"/>
        <v>118612766.75267123</v>
      </c>
      <c r="Q352" s="386">
        <f t="shared" si="108"/>
        <v>115949877.90776323</v>
      </c>
      <c r="R352" s="386">
        <f t="shared" si="108"/>
        <v>87209440.873825863</v>
      </c>
      <c r="S352" s="386">
        <f t="shared" si="108"/>
        <v>114274713.98102029</v>
      </c>
      <c r="T352" s="386">
        <f t="shared" si="108"/>
        <v>147695940.25374511</v>
      </c>
      <c r="U352" s="511">
        <f t="shared" si="108"/>
        <v>142790267.77348921</v>
      </c>
    </row>
    <row r="353" spans="3:22" x14ac:dyDescent="0.35">
      <c r="C353" s="74" t="s">
        <v>582</v>
      </c>
      <c r="F353" s="31"/>
      <c r="I353" s="597">
        <f t="shared" ref="I353:P360" si="109">I$352*$D283</f>
        <v>81982614.504155278</v>
      </c>
      <c r="J353" s="375">
        <f t="shared" si="109"/>
        <v>92258103.825898334</v>
      </c>
      <c r="K353" s="375">
        <f t="shared" si="109"/>
        <v>92952112.866930321</v>
      </c>
      <c r="L353" s="375">
        <f t="shared" si="109"/>
        <v>83158200.830619365</v>
      </c>
      <c r="M353" s="375">
        <f t="shared" si="109"/>
        <v>72566211.91872333</v>
      </c>
      <c r="N353" s="375">
        <f t="shared" si="109"/>
        <v>65835846.558568425</v>
      </c>
      <c r="O353" s="375">
        <f t="shared" si="109"/>
        <v>72221530.511254832</v>
      </c>
      <c r="P353" s="375">
        <f t="shared" si="109"/>
        <v>80656681.391816437</v>
      </c>
      <c r="Q353" s="375">
        <f t="shared" ref="Q353:R360" si="110">Q$352*$D283</f>
        <v>78845916.977279007</v>
      </c>
      <c r="R353" s="375">
        <f t="shared" si="110"/>
        <v>59302419.79420159</v>
      </c>
      <c r="S353" s="375">
        <f t="shared" ref="S353:U353" si="111">S$352*$D283</f>
        <v>77706805.507093802</v>
      </c>
      <c r="T353" s="375">
        <f t="shared" si="111"/>
        <v>100433239.37254669</v>
      </c>
      <c r="U353" s="376">
        <f t="shared" si="111"/>
        <v>97097382.085972667</v>
      </c>
      <c r="V353" s="385" t="e">
        <f>T353*#REF!</f>
        <v>#REF!</v>
      </c>
    </row>
    <row r="354" spans="3:22" x14ac:dyDescent="0.35">
      <c r="C354" s="74" t="s">
        <v>583</v>
      </c>
      <c r="F354" s="31"/>
      <c r="I354" s="597">
        <f t="shared" si="109"/>
        <v>25318160.361577362</v>
      </c>
      <c r="J354" s="375">
        <f t="shared" si="109"/>
        <v>28491473.240350954</v>
      </c>
      <c r="K354" s="375">
        <f t="shared" si="109"/>
        <v>28705799.561846126</v>
      </c>
      <c r="L354" s="375">
        <f t="shared" si="109"/>
        <v>25681209.080044214</v>
      </c>
      <c r="M354" s="375">
        <f t="shared" si="109"/>
        <v>22410153.680782199</v>
      </c>
      <c r="N354" s="375">
        <f t="shared" si="109"/>
        <v>20331658.496028483</v>
      </c>
      <c r="O354" s="375">
        <f t="shared" si="109"/>
        <v>22303707.952005163</v>
      </c>
      <c r="P354" s="375">
        <f t="shared" si="109"/>
        <v>24908681.018060956</v>
      </c>
      <c r="Q354" s="375">
        <f t="shared" si="110"/>
        <v>24349474.360630278</v>
      </c>
      <c r="R354" s="375">
        <f t="shared" si="110"/>
        <v>18313982.583503429</v>
      </c>
      <c r="S354" s="375">
        <f t="shared" ref="S354:U360" si="112">S$352*$D284</f>
        <v>23997689.936014261</v>
      </c>
      <c r="T354" s="375">
        <f t="shared" si="112"/>
        <v>31016147.453286473</v>
      </c>
      <c r="U354" s="376">
        <f t="shared" si="112"/>
        <v>29985956.232432734</v>
      </c>
      <c r="V354" s="385">
        <f>5%*T354</f>
        <v>1550807.3726643238</v>
      </c>
    </row>
    <row r="355" spans="3:22" x14ac:dyDescent="0.35">
      <c r="C355" s="74" t="s">
        <v>560</v>
      </c>
      <c r="F355" s="31"/>
      <c r="I355" s="597">
        <f t="shared" si="109"/>
        <v>13261893.522730999</v>
      </c>
      <c r="J355" s="375">
        <f t="shared" si="109"/>
        <v>14924105.030660024</v>
      </c>
      <c r="K355" s="375">
        <f t="shared" si="109"/>
        <v>15036371.199062258</v>
      </c>
      <c r="L355" s="375">
        <f t="shared" si="109"/>
        <v>13452061.899070779</v>
      </c>
      <c r="M355" s="375">
        <f t="shared" si="109"/>
        <v>11738651.928028772</v>
      </c>
      <c r="N355" s="375">
        <f t="shared" si="109"/>
        <v>10649916.355062539</v>
      </c>
      <c r="O355" s="375">
        <f t="shared" si="109"/>
        <v>11682894.641526515</v>
      </c>
      <c r="P355" s="375">
        <f t="shared" si="109"/>
        <v>13047404.342793835</v>
      </c>
      <c r="Q355" s="375">
        <f t="shared" si="110"/>
        <v>12754486.569853956</v>
      </c>
      <c r="R355" s="375">
        <f t="shared" si="110"/>
        <v>9593038.4961208459</v>
      </c>
      <c r="S355" s="375">
        <f t="shared" si="112"/>
        <v>12570218.537912231</v>
      </c>
      <c r="T355" s="375">
        <f t="shared" si="112"/>
        <v>16246553.427911961</v>
      </c>
      <c r="U355" s="376">
        <f t="shared" si="112"/>
        <v>15706929.455083814</v>
      </c>
    </row>
    <row r="356" spans="3:22" x14ac:dyDescent="0.35">
      <c r="C356" s="437" t="s">
        <v>584</v>
      </c>
      <c r="F356" s="31"/>
      <c r="I356" s="597">
        <f t="shared" si="109"/>
        <v>3050235.51022813</v>
      </c>
      <c r="J356" s="375">
        <f t="shared" si="109"/>
        <v>3432544.1570518054</v>
      </c>
      <c r="K356" s="375">
        <f t="shared" si="109"/>
        <v>3458365.3757843189</v>
      </c>
      <c r="L356" s="375">
        <f t="shared" si="109"/>
        <v>3093974.2367862794</v>
      </c>
      <c r="M356" s="375">
        <f t="shared" si="109"/>
        <v>2699889.9434466176</v>
      </c>
      <c r="N356" s="375">
        <f t="shared" si="109"/>
        <v>2449480.761664384</v>
      </c>
      <c r="O356" s="375">
        <f t="shared" si="109"/>
        <v>2687065.7675510985</v>
      </c>
      <c r="P356" s="375">
        <f t="shared" si="109"/>
        <v>3000902.9988425821</v>
      </c>
      <c r="Q356" s="375">
        <f t="shared" si="110"/>
        <v>2933531.9110664097</v>
      </c>
      <c r="R356" s="375">
        <f t="shared" si="110"/>
        <v>2206398.8541077944</v>
      </c>
      <c r="S356" s="375">
        <f t="shared" si="112"/>
        <v>2891150.2637198134</v>
      </c>
      <c r="T356" s="375">
        <f t="shared" si="112"/>
        <v>3736707.288419751</v>
      </c>
      <c r="U356" s="376">
        <f t="shared" si="112"/>
        <v>3612593.774669277</v>
      </c>
    </row>
    <row r="357" spans="3:22" x14ac:dyDescent="0.35">
      <c r="C357" s="437" t="s">
        <v>585</v>
      </c>
      <c r="F357" s="31"/>
      <c r="I357" s="597">
        <f t="shared" si="109"/>
        <v>7028803.5670474302</v>
      </c>
      <c r="J357" s="375">
        <f t="shared" si="109"/>
        <v>7909775.6662498135</v>
      </c>
      <c r="K357" s="375">
        <f t="shared" si="109"/>
        <v>7969276.7355029965</v>
      </c>
      <c r="L357" s="375">
        <f t="shared" si="109"/>
        <v>7129592.8065075139</v>
      </c>
      <c r="M357" s="375">
        <f t="shared" si="109"/>
        <v>6221485.52185525</v>
      </c>
      <c r="N357" s="375">
        <f t="shared" si="109"/>
        <v>5644455.668183146</v>
      </c>
      <c r="O357" s="375">
        <f t="shared" si="109"/>
        <v>6191934.1600090535</v>
      </c>
      <c r="P357" s="375">
        <f t="shared" si="109"/>
        <v>6915124.3016807334</v>
      </c>
      <c r="Q357" s="375">
        <f t="shared" si="110"/>
        <v>6759877.8820225969</v>
      </c>
      <c r="R357" s="375">
        <f t="shared" si="110"/>
        <v>5084310.4029440479</v>
      </c>
      <c r="S357" s="375">
        <f t="shared" si="112"/>
        <v>6662215.8250934836</v>
      </c>
      <c r="T357" s="375">
        <f t="shared" si="112"/>
        <v>8610673.3167933412</v>
      </c>
      <c r="U357" s="376">
        <f t="shared" si="112"/>
        <v>8324672.6111944215</v>
      </c>
    </row>
    <row r="358" spans="3:22" x14ac:dyDescent="0.35">
      <c r="C358" s="437" t="s">
        <v>586</v>
      </c>
      <c r="F358" s="31"/>
      <c r="I358" s="597">
        <f t="shared" si="109"/>
        <v>1458808.2875004099</v>
      </c>
      <c r="J358" s="375">
        <f t="shared" si="109"/>
        <v>1641651.5533726027</v>
      </c>
      <c r="K358" s="375">
        <f t="shared" si="109"/>
        <v>1654000.8318968483</v>
      </c>
      <c r="L358" s="375">
        <f t="shared" si="109"/>
        <v>1479726.8088977856</v>
      </c>
      <c r="M358" s="375">
        <f t="shared" si="109"/>
        <v>1291251.7120831648</v>
      </c>
      <c r="N358" s="375">
        <f t="shared" si="109"/>
        <v>1171490.7990568792</v>
      </c>
      <c r="O358" s="375">
        <f t="shared" si="109"/>
        <v>1285118.4105679167</v>
      </c>
      <c r="P358" s="375">
        <f t="shared" si="109"/>
        <v>1435214.4777073218</v>
      </c>
      <c r="Q358" s="375">
        <f t="shared" si="110"/>
        <v>1402993.522683935</v>
      </c>
      <c r="R358" s="375">
        <f t="shared" si="110"/>
        <v>1055234.234573293</v>
      </c>
      <c r="S358" s="375">
        <f t="shared" si="112"/>
        <v>1382724.0391703455</v>
      </c>
      <c r="T358" s="375">
        <f t="shared" si="112"/>
        <v>1787120.8770703159</v>
      </c>
      <c r="U358" s="376">
        <f t="shared" si="112"/>
        <v>1727762.2400592193</v>
      </c>
    </row>
    <row r="359" spans="3:22" ht="15.65" customHeight="1" x14ac:dyDescent="0.35">
      <c r="C359" s="437" t="s">
        <v>587</v>
      </c>
      <c r="F359" s="31"/>
      <c r="I359" s="597">
        <f t="shared" si="109"/>
        <v>928332.54659117013</v>
      </c>
      <c r="J359" s="375">
        <f t="shared" si="109"/>
        <v>1044687.3521462019</v>
      </c>
      <c r="K359" s="375">
        <f t="shared" si="109"/>
        <v>1052545.9839343582</v>
      </c>
      <c r="L359" s="375">
        <f t="shared" si="109"/>
        <v>941644.33293495467</v>
      </c>
      <c r="M359" s="375">
        <f t="shared" si="109"/>
        <v>821705.63496201416</v>
      </c>
      <c r="N359" s="375">
        <f t="shared" si="109"/>
        <v>745494.14485437784</v>
      </c>
      <c r="O359" s="375">
        <f t="shared" si="109"/>
        <v>817802.62490685622</v>
      </c>
      <c r="P359" s="375">
        <f t="shared" si="109"/>
        <v>913318.30399556854</v>
      </c>
      <c r="Q359" s="375">
        <f t="shared" si="110"/>
        <v>892814.05988977698</v>
      </c>
      <c r="R359" s="375">
        <f t="shared" si="110"/>
        <v>671512.69472845923</v>
      </c>
      <c r="S359" s="375">
        <f t="shared" si="112"/>
        <v>879915.29765385634</v>
      </c>
      <c r="T359" s="375">
        <f t="shared" si="112"/>
        <v>1137258.7399538376</v>
      </c>
      <c r="U359" s="376">
        <f t="shared" si="112"/>
        <v>1099485.061855867</v>
      </c>
    </row>
    <row r="360" spans="3:22" x14ac:dyDescent="0.35">
      <c r="C360" s="437" t="s">
        <v>588</v>
      </c>
      <c r="F360" s="31"/>
      <c r="I360" s="597">
        <f t="shared" si="109"/>
        <v>663094.67613655003</v>
      </c>
      <c r="J360" s="375">
        <f t="shared" si="109"/>
        <v>746205.25153300131</v>
      </c>
      <c r="K360" s="375">
        <f t="shared" si="109"/>
        <v>751818.55995311297</v>
      </c>
      <c r="L360" s="375">
        <f t="shared" si="109"/>
        <v>672603.09495353908</v>
      </c>
      <c r="M360" s="375">
        <f t="shared" si="109"/>
        <v>586932.5964014387</v>
      </c>
      <c r="N360" s="375">
        <f t="shared" si="109"/>
        <v>532495.81775312696</v>
      </c>
      <c r="O360" s="375">
        <f t="shared" si="109"/>
        <v>584144.7320763258</v>
      </c>
      <c r="P360" s="375">
        <f t="shared" si="109"/>
        <v>652370.21713969181</v>
      </c>
      <c r="Q360" s="375">
        <f t="shared" si="110"/>
        <v>637724.32849269779</v>
      </c>
      <c r="R360" s="375">
        <f t="shared" si="110"/>
        <v>479651.92480604228</v>
      </c>
      <c r="S360" s="375">
        <f t="shared" si="112"/>
        <v>628510.92689561169</v>
      </c>
      <c r="T360" s="375">
        <f t="shared" si="112"/>
        <v>812327.67139559821</v>
      </c>
      <c r="U360" s="376">
        <f t="shared" si="112"/>
        <v>785346.47275419068</v>
      </c>
    </row>
    <row r="361" spans="3:22" x14ac:dyDescent="0.35">
      <c r="C361" s="512" t="s">
        <v>582</v>
      </c>
      <c r="F361" s="31"/>
      <c r="I361" s="613">
        <f t="shared" ref="I361:P368" si="113">I353*I283</f>
        <v>81982614.504155278</v>
      </c>
      <c r="J361" s="436">
        <f t="shared" si="113"/>
        <v>92258103.825898334</v>
      </c>
      <c r="K361" s="436">
        <f t="shared" si="113"/>
        <v>92952112.866930321</v>
      </c>
      <c r="L361" s="436">
        <f t="shared" si="113"/>
        <v>83158200.830619365</v>
      </c>
      <c r="M361" s="436">
        <f t="shared" si="113"/>
        <v>72566211.91872333</v>
      </c>
      <c r="N361" s="436">
        <f t="shared" si="113"/>
        <v>65835846.558568425</v>
      </c>
      <c r="O361" s="436">
        <f t="shared" si="113"/>
        <v>72221530.511254832</v>
      </c>
      <c r="P361" s="436">
        <f t="shared" si="113"/>
        <v>80656681.391816437</v>
      </c>
      <c r="Q361" s="436">
        <f>Q353*Q283</f>
        <v>78845916.977279007</v>
      </c>
      <c r="R361" s="436">
        <f t="shared" ref="R361:U361" si="114">R353*R283</f>
        <v>59302419.79420159</v>
      </c>
      <c r="S361" s="436">
        <f t="shared" si="114"/>
        <v>77706805.507093802</v>
      </c>
      <c r="T361" s="436">
        <f t="shared" si="114"/>
        <v>100433239.37254669</v>
      </c>
      <c r="U361" s="513">
        <f t="shared" si="114"/>
        <v>97097382.085972667</v>
      </c>
    </row>
    <row r="362" spans="3:22" x14ac:dyDescent="0.35">
      <c r="C362" s="512" t="s">
        <v>583</v>
      </c>
      <c r="F362" s="31"/>
      <c r="I362" s="613">
        <f t="shared" si="113"/>
        <v>25318160.361577362</v>
      </c>
      <c r="J362" s="436">
        <f t="shared" si="113"/>
        <v>28491473.240350954</v>
      </c>
      <c r="K362" s="436">
        <f t="shared" si="113"/>
        <v>28705799.561846126</v>
      </c>
      <c r="L362" s="436">
        <f t="shared" si="113"/>
        <v>25681209.080044214</v>
      </c>
      <c r="M362" s="436">
        <f t="shared" si="113"/>
        <v>22410153.680782199</v>
      </c>
      <c r="N362" s="436">
        <f t="shared" si="113"/>
        <v>20331658.496028483</v>
      </c>
      <c r="O362" s="436">
        <f t="shared" si="113"/>
        <v>22303707.952005163</v>
      </c>
      <c r="P362" s="436">
        <f t="shared" si="113"/>
        <v>24908681.018060956</v>
      </c>
      <c r="Q362" s="436">
        <f t="shared" ref="Q362:U368" si="115">Q354*Q284</f>
        <v>24349474.360630278</v>
      </c>
      <c r="R362" s="436">
        <f t="shared" si="115"/>
        <v>18313982.583503429</v>
      </c>
      <c r="S362" s="436">
        <f t="shared" si="115"/>
        <v>23997689.936014261</v>
      </c>
      <c r="T362" s="436">
        <f t="shared" si="115"/>
        <v>31016147.453286473</v>
      </c>
      <c r="U362" s="513">
        <f t="shared" si="115"/>
        <v>29985956.232432734</v>
      </c>
    </row>
    <row r="363" spans="3:22" x14ac:dyDescent="0.35">
      <c r="C363" s="512" t="s">
        <v>560</v>
      </c>
      <c r="F363" s="31"/>
      <c r="I363" s="613">
        <f t="shared" si="113"/>
        <v>0</v>
      </c>
      <c r="J363" s="436">
        <f t="shared" si="113"/>
        <v>0</v>
      </c>
      <c r="K363" s="436">
        <f t="shared" si="113"/>
        <v>0</v>
      </c>
      <c r="L363" s="436">
        <f t="shared" si="113"/>
        <v>0</v>
      </c>
      <c r="M363" s="436">
        <f t="shared" si="113"/>
        <v>0</v>
      </c>
      <c r="N363" s="436">
        <f t="shared" si="113"/>
        <v>0</v>
      </c>
      <c r="O363" s="436">
        <f t="shared" si="113"/>
        <v>0</v>
      </c>
      <c r="P363" s="436">
        <f t="shared" si="113"/>
        <v>0</v>
      </c>
      <c r="Q363" s="436">
        <f t="shared" si="115"/>
        <v>0</v>
      </c>
      <c r="R363" s="436">
        <f t="shared" si="115"/>
        <v>0</v>
      </c>
      <c r="S363" s="436">
        <f t="shared" si="115"/>
        <v>0</v>
      </c>
      <c r="T363" s="436">
        <f t="shared" si="115"/>
        <v>0</v>
      </c>
      <c r="U363" s="513">
        <f t="shared" si="115"/>
        <v>0</v>
      </c>
    </row>
    <row r="364" spans="3:22" x14ac:dyDescent="0.35">
      <c r="C364" s="514" t="s">
        <v>584</v>
      </c>
      <c r="F364" s="31"/>
      <c r="I364" s="613">
        <f t="shared" si="113"/>
        <v>0</v>
      </c>
      <c r="J364" s="436">
        <f t="shared" si="113"/>
        <v>3432544.1570518054</v>
      </c>
      <c r="K364" s="436">
        <f t="shared" si="113"/>
        <v>3458365.3757843189</v>
      </c>
      <c r="L364" s="436">
        <f t="shared" si="113"/>
        <v>3093974.2367862794</v>
      </c>
      <c r="M364" s="436">
        <f t="shared" si="113"/>
        <v>2699889.9434466176</v>
      </c>
      <c r="N364" s="436">
        <f t="shared" si="113"/>
        <v>2449480.761664384</v>
      </c>
      <c r="O364" s="436">
        <f t="shared" si="113"/>
        <v>2687065.7675510985</v>
      </c>
      <c r="P364" s="436">
        <f t="shared" si="113"/>
        <v>3000902.9988425821</v>
      </c>
      <c r="Q364" s="436">
        <f t="shared" si="115"/>
        <v>2933531.9110664097</v>
      </c>
      <c r="R364" s="436">
        <f t="shared" si="115"/>
        <v>2206398.8541077944</v>
      </c>
      <c r="S364" s="436">
        <f t="shared" si="115"/>
        <v>2891150.2637198134</v>
      </c>
      <c r="T364" s="436">
        <f t="shared" si="115"/>
        <v>3736707.288419751</v>
      </c>
      <c r="U364" s="513">
        <f t="shared" si="115"/>
        <v>3612593.774669277</v>
      </c>
    </row>
    <row r="365" spans="3:22" x14ac:dyDescent="0.35">
      <c r="C365" s="514" t="s">
        <v>585</v>
      </c>
      <c r="F365" s="31"/>
      <c r="I365" s="613">
        <f t="shared" si="113"/>
        <v>0</v>
      </c>
      <c r="J365" s="436">
        <f t="shared" si="113"/>
        <v>0</v>
      </c>
      <c r="K365" s="436">
        <f t="shared" si="113"/>
        <v>0</v>
      </c>
      <c r="L365" s="436">
        <f t="shared" si="113"/>
        <v>0</v>
      </c>
      <c r="M365" s="436">
        <f t="shared" si="113"/>
        <v>0</v>
      </c>
      <c r="N365" s="436">
        <f t="shared" si="113"/>
        <v>0</v>
      </c>
      <c r="O365" s="436">
        <f t="shared" si="113"/>
        <v>0</v>
      </c>
      <c r="P365" s="436">
        <f t="shared" si="113"/>
        <v>0</v>
      </c>
      <c r="Q365" s="436">
        <f t="shared" si="115"/>
        <v>0</v>
      </c>
      <c r="R365" s="436">
        <f t="shared" si="115"/>
        <v>0</v>
      </c>
      <c r="S365" s="436">
        <f t="shared" si="115"/>
        <v>0</v>
      </c>
      <c r="T365" s="436">
        <f t="shared" si="115"/>
        <v>0</v>
      </c>
      <c r="U365" s="513">
        <f t="shared" si="115"/>
        <v>0</v>
      </c>
    </row>
    <row r="366" spans="3:22" x14ac:dyDescent="0.35">
      <c r="C366" s="514" t="s">
        <v>586</v>
      </c>
      <c r="F366" s="31"/>
      <c r="I366" s="613">
        <f t="shared" si="113"/>
        <v>1458808.2875004099</v>
      </c>
      <c r="J366" s="436">
        <f t="shared" si="113"/>
        <v>1641651.5533726027</v>
      </c>
      <c r="K366" s="436">
        <f t="shared" si="113"/>
        <v>1654000.8318968483</v>
      </c>
      <c r="L366" s="436">
        <f t="shared" si="113"/>
        <v>1479726.8088977856</v>
      </c>
      <c r="M366" s="436">
        <f t="shared" si="113"/>
        <v>1291251.7120831648</v>
      </c>
      <c r="N366" s="436">
        <f t="shared" si="113"/>
        <v>1171490.7990568792</v>
      </c>
      <c r="O366" s="436">
        <f t="shared" si="113"/>
        <v>1285118.4105679167</v>
      </c>
      <c r="P366" s="436">
        <f t="shared" si="113"/>
        <v>1435214.4777073218</v>
      </c>
      <c r="Q366" s="436">
        <f t="shared" si="115"/>
        <v>1402993.522683935</v>
      </c>
      <c r="R366" s="436">
        <f t="shared" si="115"/>
        <v>1055234.234573293</v>
      </c>
      <c r="S366" s="436">
        <f t="shared" si="115"/>
        <v>1382724.0391703455</v>
      </c>
      <c r="T366" s="436">
        <f t="shared" si="115"/>
        <v>1787120.8770703159</v>
      </c>
      <c r="U366" s="513">
        <f t="shared" si="115"/>
        <v>1727762.2400592193</v>
      </c>
    </row>
    <row r="367" spans="3:22" x14ac:dyDescent="0.35">
      <c r="C367" s="514" t="s">
        <v>587</v>
      </c>
      <c r="F367" s="31"/>
      <c r="I367" s="613">
        <f t="shared" si="113"/>
        <v>0</v>
      </c>
      <c r="J367" s="436">
        <f t="shared" si="113"/>
        <v>0</v>
      </c>
      <c r="K367" s="436">
        <f t="shared" si="113"/>
        <v>0</v>
      </c>
      <c r="L367" s="436">
        <f t="shared" si="113"/>
        <v>0</v>
      </c>
      <c r="M367" s="436">
        <f t="shared" si="113"/>
        <v>0</v>
      </c>
      <c r="N367" s="436">
        <f t="shared" si="113"/>
        <v>0</v>
      </c>
      <c r="O367" s="436">
        <f t="shared" si="113"/>
        <v>0</v>
      </c>
      <c r="P367" s="436">
        <f t="shared" si="113"/>
        <v>0</v>
      </c>
      <c r="Q367" s="436">
        <f t="shared" si="115"/>
        <v>0</v>
      </c>
      <c r="R367" s="436">
        <f t="shared" si="115"/>
        <v>0</v>
      </c>
      <c r="S367" s="436">
        <f t="shared" si="115"/>
        <v>0</v>
      </c>
      <c r="T367" s="436">
        <f t="shared" si="115"/>
        <v>0</v>
      </c>
      <c r="U367" s="513">
        <f t="shared" si="115"/>
        <v>0</v>
      </c>
    </row>
    <row r="368" spans="3:22" x14ac:dyDescent="0.35">
      <c r="C368" s="514" t="s">
        <v>588</v>
      </c>
      <c r="F368" s="31"/>
      <c r="I368" s="613">
        <f t="shared" si="113"/>
        <v>663094.67613655003</v>
      </c>
      <c r="J368" s="436">
        <f t="shared" si="113"/>
        <v>746205.25153300131</v>
      </c>
      <c r="K368" s="436">
        <f t="shared" si="113"/>
        <v>751818.55995311297</v>
      </c>
      <c r="L368" s="436">
        <f t="shared" si="113"/>
        <v>672603.09495353908</v>
      </c>
      <c r="M368" s="436">
        <f t="shared" si="113"/>
        <v>586932.5964014387</v>
      </c>
      <c r="N368" s="436">
        <f t="shared" si="113"/>
        <v>532495.81775312696</v>
      </c>
      <c r="O368" s="436">
        <f t="shared" si="113"/>
        <v>584144.7320763258</v>
      </c>
      <c r="P368" s="436">
        <f t="shared" si="113"/>
        <v>652370.21713969181</v>
      </c>
      <c r="Q368" s="436">
        <f t="shared" si="115"/>
        <v>637724.32849269779</v>
      </c>
      <c r="R368" s="436">
        <f t="shared" si="115"/>
        <v>479651.92480604228</v>
      </c>
      <c r="S368" s="436">
        <f t="shared" si="115"/>
        <v>628510.92689561169</v>
      </c>
      <c r="T368" s="436">
        <f t="shared" si="115"/>
        <v>812327.67139559821</v>
      </c>
      <c r="U368" s="513">
        <f t="shared" si="115"/>
        <v>785346.47275419068</v>
      </c>
    </row>
    <row r="369" spans="3:22" x14ac:dyDescent="0.35">
      <c r="C369" s="514" t="s">
        <v>277</v>
      </c>
      <c r="F369" s="31"/>
      <c r="I369" s="613">
        <f t="shared" ref="I369:P369" si="116">SUM(I361:I368)</f>
        <v>109422677.8293696</v>
      </c>
      <c r="J369" s="436">
        <f t="shared" si="116"/>
        <v>126569978.02820669</v>
      </c>
      <c r="K369" s="436">
        <f t="shared" si="116"/>
        <v>127522097.19641072</v>
      </c>
      <c r="L369" s="436">
        <f t="shared" si="116"/>
        <v>114085714.05130117</v>
      </c>
      <c r="M369" s="436">
        <f t="shared" si="116"/>
        <v>99554439.851436749</v>
      </c>
      <c r="N369" s="436">
        <f t="shared" si="116"/>
        <v>90320972.433071285</v>
      </c>
      <c r="O369" s="436">
        <f t="shared" si="116"/>
        <v>99081567.373455331</v>
      </c>
      <c r="P369" s="436">
        <f t="shared" si="116"/>
        <v>110653850.10356699</v>
      </c>
      <c r="Q369" s="436">
        <f>SUM(Q361:Q368)</f>
        <v>108169641.10015233</v>
      </c>
      <c r="R369" s="436">
        <f t="shared" ref="R369:U369" si="117">SUM(R361:R368)</f>
        <v>81357687.391192153</v>
      </c>
      <c r="S369" s="436">
        <f t="shared" si="117"/>
        <v>106606880.67289384</v>
      </c>
      <c r="T369" s="436">
        <f t="shared" si="117"/>
        <v>137785542.6627188</v>
      </c>
      <c r="U369" s="513">
        <f t="shared" si="117"/>
        <v>133209040.8058881</v>
      </c>
    </row>
    <row r="370" spans="3:22" x14ac:dyDescent="0.35">
      <c r="C370" s="464" t="s">
        <v>487</v>
      </c>
      <c r="D370" s="555"/>
      <c r="E370" s="555"/>
      <c r="F370" s="606"/>
      <c r="I370" s="614"/>
      <c r="J370" s="556"/>
      <c r="K370" s="556"/>
      <c r="L370" s="556"/>
      <c r="M370" s="556"/>
      <c r="N370" s="556"/>
      <c r="O370" s="556"/>
      <c r="P370" s="556"/>
      <c r="Q370" s="556"/>
      <c r="R370" s="556"/>
      <c r="S370" s="556"/>
      <c r="T370" s="556"/>
      <c r="U370" s="377"/>
    </row>
    <row r="371" spans="3:22" x14ac:dyDescent="0.35">
      <c r="C371" s="515" t="s">
        <v>482</v>
      </c>
      <c r="F371" s="31"/>
      <c r="I371" s="615">
        <f>I77</f>
        <v>5935638.3399999999</v>
      </c>
      <c r="J371" s="386">
        <f t="shared" ref="J371:U371" si="118">J77</f>
        <v>6130403.3700000001</v>
      </c>
      <c r="K371" s="386">
        <f t="shared" si="118"/>
        <v>6176835.080000001</v>
      </c>
      <c r="L371" s="386">
        <f t="shared" si="118"/>
        <v>5888602.1699999999</v>
      </c>
      <c r="M371" s="386">
        <f t="shared" si="118"/>
        <v>5222617.07</v>
      </c>
      <c r="N371" s="386">
        <f t="shared" si="118"/>
        <v>6690915.6100000003</v>
      </c>
      <c r="O371" s="386">
        <f t="shared" si="118"/>
        <v>6616442.6299999999</v>
      </c>
      <c r="P371" s="386">
        <f t="shared" si="118"/>
        <v>9368256.0299999993</v>
      </c>
      <c r="Q371" s="386">
        <f t="shared" si="118"/>
        <v>9706294.9800000004</v>
      </c>
      <c r="R371" s="386">
        <f t="shared" si="118"/>
        <v>7535683.6100000003</v>
      </c>
      <c r="S371" s="386">
        <f t="shared" si="118"/>
        <v>8231494.5599999987</v>
      </c>
      <c r="T371" s="386">
        <f t="shared" si="118"/>
        <v>11259409.299999999</v>
      </c>
      <c r="U371" s="511">
        <f t="shared" si="118"/>
        <v>11521201.75</v>
      </c>
    </row>
    <row r="372" spans="3:22" x14ac:dyDescent="0.35">
      <c r="C372" s="74" t="s">
        <v>582</v>
      </c>
      <c r="F372" s="31"/>
      <c r="I372" s="597">
        <f t="shared" ref="I372:P379" si="119">I$371*$D283</f>
        <v>4036234.0712000001</v>
      </c>
      <c r="J372" s="375">
        <f t="shared" si="119"/>
        <v>4168674.2916000006</v>
      </c>
      <c r="K372" s="375">
        <f t="shared" si="119"/>
        <v>4200247.8544000005</v>
      </c>
      <c r="L372" s="375">
        <f t="shared" si="119"/>
        <v>4004249.4756</v>
      </c>
      <c r="M372" s="375">
        <f t="shared" si="119"/>
        <v>3551379.6076000007</v>
      </c>
      <c r="N372" s="375">
        <f t="shared" si="119"/>
        <v>4549822.6148000006</v>
      </c>
      <c r="O372" s="375">
        <f t="shared" si="119"/>
        <v>4499180.9884000001</v>
      </c>
      <c r="P372" s="375">
        <f t="shared" si="119"/>
        <v>6370414.1003999999</v>
      </c>
      <c r="Q372" s="375">
        <f t="shared" ref="Q372:Q379" si="120">Q$371*$D283</f>
        <v>6600280.5864000004</v>
      </c>
      <c r="R372" s="375">
        <f t="shared" ref="R372:U372" si="121">R$371*$D283</f>
        <v>5124264.8548000008</v>
      </c>
      <c r="S372" s="375">
        <f t="shared" si="121"/>
        <v>5597416.3007999994</v>
      </c>
      <c r="T372" s="375">
        <f t="shared" si="121"/>
        <v>7656398.324</v>
      </c>
      <c r="U372" s="376">
        <f t="shared" si="121"/>
        <v>7834417.1900000004</v>
      </c>
      <c r="V372" s="385" t="e">
        <f>T372*#REF!</f>
        <v>#REF!</v>
      </c>
    </row>
    <row r="373" spans="3:22" x14ac:dyDescent="0.35">
      <c r="C373" s="74" t="s">
        <v>583</v>
      </c>
      <c r="F373" s="31"/>
      <c r="I373" s="597">
        <f t="shared" si="119"/>
        <v>1246484.0514</v>
      </c>
      <c r="J373" s="375">
        <f t="shared" si="119"/>
        <v>1287384.7076999999</v>
      </c>
      <c r="K373" s="375">
        <f t="shared" si="119"/>
        <v>1297135.3668000002</v>
      </c>
      <c r="L373" s="375">
        <f t="shared" si="119"/>
        <v>1236606.4557</v>
      </c>
      <c r="M373" s="375">
        <f t="shared" si="119"/>
        <v>1096749.5847</v>
      </c>
      <c r="N373" s="375">
        <f t="shared" si="119"/>
        <v>1405092.2781</v>
      </c>
      <c r="O373" s="375">
        <f t="shared" si="119"/>
        <v>1389452.9523</v>
      </c>
      <c r="P373" s="375">
        <f t="shared" si="119"/>
        <v>1967333.7662999998</v>
      </c>
      <c r="Q373" s="375">
        <f t="shared" si="120"/>
        <v>2038321.9458000001</v>
      </c>
      <c r="R373" s="375">
        <f t="shared" ref="R373:U379" si="122">R$371*$D284</f>
        <v>1582493.5581</v>
      </c>
      <c r="S373" s="375">
        <f t="shared" si="122"/>
        <v>1728613.8575999998</v>
      </c>
      <c r="T373" s="375">
        <f t="shared" si="122"/>
        <v>2364475.9529999997</v>
      </c>
      <c r="U373" s="376">
        <f t="shared" si="122"/>
        <v>2419452.3674999997</v>
      </c>
      <c r="V373" s="385">
        <f>5%*T373</f>
        <v>118223.79764999999</v>
      </c>
    </row>
    <row r="374" spans="3:22" x14ac:dyDescent="0.35">
      <c r="C374" s="74" t="s">
        <v>560</v>
      </c>
      <c r="F374" s="31"/>
      <c r="I374" s="597">
        <f t="shared" si="119"/>
        <v>652920.21739999996</v>
      </c>
      <c r="J374" s="375">
        <f t="shared" si="119"/>
        <v>674344.37069999997</v>
      </c>
      <c r="K374" s="375">
        <f t="shared" si="119"/>
        <v>679451.85880000016</v>
      </c>
      <c r="L374" s="375">
        <f t="shared" si="119"/>
        <v>647746.23869999999</v>
      </c>
      <c r="M374" s="375">
        <f t="shared" si="119"/>
        <v>574487.87770000007</v>
      </c>
      <c r="N374" s="375">
        <f t="shared" si="119"/>
        <v>736000.71710000001</v>
      </c>
      <c r="O374" s="375">
        <f t="shared" si="119"/>
        <v>727808.68929999997</v>
      </c>
      <c r="P374" s="375">
        <f t="shared" si="119"/>
        <v>1030508.1632999999</v>
      </c>
      <c r="Q374" s="375">
        <f t="shared" si="120"/>
        <v>1067692.4478</v>
      </c>
      <c r="R374" s="375">
        <f t="shared" si="122"/>
        <v>828925.19709999999</v>
      </c>
      <c r="S374" s="375">
        <f t="shared" si="122"/>
        <v>905464.40159999987</v>
      </c>
      <c r="T374" s="375">
        <f t="shared" si="122"/>
        <v>1238535.0229999998</v>
      </c>
      <c r="U374" s="376">
        <f t="shared" si="122"/>
        <v>1267332.1925000001</v>
      </c>
    </row>
    <row r="375" spans="3:22" x14ac:dyDescent="0.35">
      <c r="C375" s="437" t="s">
        <v>584</v>
      </c>
      <c r="F375" s="31"/>
      <c r="I375" s="597">
        <f t="shared" si="119"/>
        <v>150171.65000199998</v>
      </c>
      <c r="J375" s="375">
        <f t="shared" si="119"/>
        <v>155099.205261</v>
      </c>
      <c r="K375" s="375">
        <f t="shared" si="119"/>
        <v>156273.92752400003</v>
      </c>
      <c r="L375" s="375">
        <f t="shared" si="119"/>
        <v>148981.63490099998</v>
      </c>
      <c r="M375" s="375">
        <f t="shared" si="119"/>
        <v>132132.21187100001</v>
      </c>
      <c r="N375" s="375">
        <f t="shared" si="119"/>
        <v>169280.16493299999</v>
      </c>
      <c r="O375" s="375">
        <f t="shared" si="119"/>
        <v>167395.99853899999</v>
      </c>
      <c r="P375" s="375">
        <f t="shared" si="119"/>
        <v>237016.87755899999</v>
      </c>
      <c r="Q375" s="375">
        <f t="shared" si="120"/>
        <v>245569.26299400002</v>
      </c>
      <c r="R375" s="375">
        <f t="shared" si="122"/>
        <v>190652.79533300002</v>
      </c>
      <c r="S375" s="375">
        <f t="shared" si="122"/>
        <v>208256.81236799996</v>
      </c>
      <c r="T375" s="375">
        <f t="shared" si="122"/>
        <v>284863.05528999999</v>
      </c>
      <c r="U375" s="376">
        <f t="shared" si="122"/>
        <v>291486.40427499998</v>
      </c>
    </row>
    <row r="376" spans="3:22" x14ac:dyDescent="0.35">
      <c r="C376" s="437" t="s">
        <v>585</v>
      </c>
      <c r="F376" s="31"/>
      <c r="I376" s="597">
        <f t="shared" si="119"/>
        <v>346047.71522200003</v>
      </c>
      <c r="J376" s="375">
        <f t="shared" si="119"/>
        <v>357402.51647100004</v>
      </c>
      <c r="K376" s="375">
        <f t="shared" si="119"/>
        <v>360109.48516400007</v>
      </c>
      <c r="L376" s="375">
        <f t="shared" si="119"/>
        <v>343305.50651100004</v>
      </c>
      <c r="M376" s="375">
        <f t="shared" si="119"/>
        <v>304478.57518100005</v>
      </c>
      <c r="N376" s="375">
        <f t="shared" si="119"/>
        <v>390080.38006300008</v>
      </c>
      <c r="O376" s="375">
        <f t="shared" si="119"/>
        <v>385738.60532900004</v>
      </c>
      <c r="P376" s="375">
        <f t="shared" si="119"/>
        <v>546169.32654899999</v>
      </c>
      <c r="Q376" s="375">
        <f t="shared" si="120"/>
        <v>565876.99733400007</v>
      </c>
      <c r="R376" s="375">
        <f t="shared" si="122"/>
        <v>439330.35446300003</v>
      </c>
      <c r="S376" s="375">
        <f t="shared" si="122"/>
        <v>479896.13284799998</v>
      </c>
      <c r="T376" s="375">
        <f t="shared" si="122"/>
        <v>656423.56218999997</v>
      </c>
      <c r="U376" s="376">
        <f t="shared" si="122"/>
        <v>671686.06202500011</v>
      </c>
    </row>
    <row r="377" spans="3:22" x14ac:dyDescent="0.35">
      <c r="C377" s="437" t="s">
        <v>586</v>
      </c>
      <c r="F377" s="31"/>
      <c r="I377" s="597">
        <f t="shared" si="119"/>
        <v>71821.223914000002</v>
      </c>
      <c r="J377" s="375">
        <f t="shared" si="119"/>
        <v>74177.880776999998</v>
      </c>
      <c r="K377" s="375">
        <f t="shared" si="119"/>
        <v>74739.704468000011</v>
      </c>
      <c r="L377" s="375">
        <f t="shared" si="119"/>
        <v>71252.086257000003</v>
      </c>
      <c r="M377" s="375">
        <f t="shared" si="119"/>
        <v>63193.666547000001</v>
      </c>
      <c r="N377" s="375">
        <f t="shared" si="119"/>
        <v>80960.078881000009</v>
      </c>
      <c r="O377" s="375">
        <f t="shared" si="119"/>
        <v>80058.955822999997</v>
      </c>
      <c r="P377" s="375">
        <f t="shared" si="119"/>
        <v>113355.897963</v>
      </c>
      <c r="Q377" s="375">
        <f t="shared" si="120"/>
        <v>117446.16925800001</v>
      </c>
      <c r="R377" s="375">
        <f t="shared" si="122"/>
        <v>91181.771680999998</v>
      </c>
      <c r="S377" s="375">
        <f t="shared" si="122"/>
        <v>99601.084175999975</v>
      </c>
      <c r="T377" s="375">
        <f t="shared" si="122"/>
        <v>136238.85252999997</v>
      </c>
      <c r="U377" s="376">
        <f t="shared" si="122"/>
        <v>139406.54117499999</v>
      </c>
    </row>
    <row r="378" spans="3:22" x14ac:dyDescent="0.35">
      <c r="C378" s="437" t="s">
        <v>587</v>
      </c>
      <c r="F378" s="31"/>
      <c r="I378" s="597">
        <f t="shared" si="119"/>
        <v>45704.415218000002</v>
      </c>
      <c r="J378" s="375">
        <f t="shared" si="119"/>
        <v>47204.105949000004</v>
      </c>
      <c r="K378" s="375">
        <f t="shared" si="119"/>
        <v>47561.630116000015</v>
      </c>
      <c r="L378" s="375">
        <f t="shared" si="119"/>
        <v>45342.236709000004</v>
      </c>
      <c r="M378" s="375">
        <f t="shared" si="119"/>
        <v>40214.151439000008</v>
      </c>
      <c r="N378" s="375">
        <f t="shared" si="119"/>
        <v>51520.050197000011</v>
      </c>
      <c r="O378" s="375">
        <f t="shared" si="119"/>
        <v>50946.608251000005</v>
      </c>
      <c r="P378" s="375">
        <f t="shared" si="119"/>
        <v>72135.571431000004</v>
      </c>
      <c r="Q378" s="375">
        <f t="shared" si="120"/>
        <v>74738.47134600002</v>
      </c>
      <c r="R378" s="375">
        <f t="shared" si="122"/>
        <v>58024.763797000014</v>
      </c>
      <c r="S378" s="375">
        <f t="shared" si="122"/>
        <v>63382.508111999996</v>
      </c>
      <c r="T378" s="375">
        <f t="shared" si="122"/>
        <v>86697.451610000004</v>
      </c>
      <c r="U378" s="376">
        <f t="shared" si="122"/>
        <v>88713.25347500002</v>
      </c>
    </row>
    <row r="379" spans="3:22" x14ac:dyDescent="0.35">
      <c r="C379" s="516" t="s">
        <v>588</v>
      </c>
      <c r="F379" s="31"/>
      <c r="I379" s="616">
        <f t="shared" si="119"/>
        <v>32646.010870000002</v>
      </c>
      <c r="J379" s="380">
        <f t="shared" si="119"/>
        <v>33717.218535000007</v>
      </c>
      <c r="K379" s="380">
        <f t="shared" si="119"/>
        <v>33972.59294000001</v>
      </c>
      <c r="L379" s="380">
        <f t="shared" si="119"/>
        <v>32387.311935000002</v>
      </c>
      <c r="M379" s="380">
        <f t="shared" si="119"/>
        <v>28724.393885000005</v>
      </c>
      <c r="N379" s="380">
        <f t="shared" si="119"/>
        <v>36800.035855000002</v>
      </c>
      <c r="O379" s="380">
        <f t="shared" si="119"/>
        <v>36390.434465000006</v>
      </c>
      <c r="P379" s="380">
        <f t="shared" si="119"/>
        <v>51525.408165000001</v>
      </c>
      <c r="Q379" s="380">
        <f t="shared" si="120"/>
        <v>53384.622390000011</v>
      </c>
      <c r="R379" s="380">
        <f t="shared" si="122"/>
        <v>41446.259855000004</v>
      </c>
      <c r="S379" s="380">
        <f t="shared" si="122"/>
        <v>45273.220079999999</v>
      </c>
      <c r="T379" s="380">
        <f t="shared" si="122"/>
        <v>61926.751149999996</v>
      </c>
      <c r="U379" s="502">
        <f t="shared" si="122"/>
        <v>63366.609625000005</v>
      </c>
    </row>
    <row r="380" spans="3:22" x14ac:dyDescent="0.35">
      <c r="C380" s="512" t="s">
        <v>582</v>
      </c>
      <c r="F380" s="31"/>
      <c r="I380" s="613">
        <f t="shared" ref="I380:P387" si="123">I372*I283</f>
        <v>4036234.0712000001</v>
      </c>
      <c r="J380" s="436">
        <f t="shared" si="123"/>
        <v>4168674.2916000006</v>
      </c>
      <c r="K380" s="436">
        <f t="shared" si="123"/>
        <v>4200247.8544000005</v>
      </c>
      <c r="L380" s="436">
        <f t="shared" si="123"/>
        <v>4004249.4756</v>
      </c>
      <c r="M380" s="436">
        <f t="shared" si="123"/>
        <v>3551379.6076000007</v>
      </c>
      <c r="N380" s="436">
        <f t="shared" si="123"/>
        <v>4549822.6148000006</v>
      </c>
      <c r="O380" s="436">
        <f t="shared" si="123"/>
        <v>4499180.9884000001</v>
      </c>
      <c r="P380" s="436">
        <f t="shared" si="123"/>
        <v>6370414.1003999999</v>
      </c>
      <c r="Q380" s="436">
        <f>Q372*Q283</f>
        <v>6600280.5864000004</v>
      </c>
      <c r="R380" s="436">
        <f t="shared" ref="R380:U380" si="124">R372*R283</f>
        <v>5124264.8548000008</v>
      </c>
      <c r="S380" s="436">
        <f t="shared" si="124"/>
        <v>5597416.3007999994</v>
      </c>
      <c r="T380" s="436">
        <f t="shared" si="124"/>
        <v>7656398.324</v>
      </c>
      <c r="U380" s="513">
        <f t="shared" si="124"/>
        <v>7834417.1900000004</v>
      </c>
    </row>
    <row r="381" spans="3:22" x14ac:dyDescent="0.35">
      <c r="C381" s="512" t="s">
        <v>583</v>
      </c>
      <c r="F381" s="31"/>
      <c r="I381" s="613">
        <f t="shared" si="123"/>
        <v>1246484.0514</v>
      </c>
      <c r="J381" s="436">
        <f t="shared" si="123"/>
        <v>1287384.7076999999</v>
      </c>
      <c r="K381" s="436">
        <f t="shared" si="123"/>
        <v>1297135.3668000002</v>
      </c>
      <c r="L381" s="436">
        <f t="shared" si="123"/>
        <v>1236606.4557</v>
      </c>
      <c r="M381" s="436">
        <f t="shared" si="123"/>
        <v>1096749.5847</v>
      </c>
      <c r="N381" s="436">
        <f t="shared" si="123"/>
        <v>1405092.2781</v>
      </c>
      <c r="O381" s="436">
        <f t="shared" si="123"/>
        <v>1389452.9523</v>
      </c>
      <c r="P381" s="436">
        <f t="shared" si="123"/>
        <v>1967333.7662999998</v>
      </c>
      <c r="Q381" s="436">
        <f t="shared" ref="Q381:U387" si="125">Q373*Q284</f>
        <v>2038321.9458000001</v>
      </c>
      <c r="R381" s="436">
        <f t="shared" si="125"/>
        <v>1582493.5581</v>
      </c>
      <c r="S381" s="436">
        <f t="shared" si="125"/>
        <v>1728613.8575999998</v>
      </c>
      <c r="T381" s="436">
        <f t="shared" si="125"/>
        <v>2364475.9529999997</v>
      </c>
      <c r="U381" s="513">
        <f t="shared" si="125"/>
        <v>2419452.3674999997</v>
      </c>
    </row>
    <row r="382" spans="3:22" x14ac:dyDescent="0.35">
      <c r="C382" s="512" t="s">
        <v>560</v>
      </c>
      <c r="F382" s="31"/>
      <c r="I382" s="613">
        <f t="shared" si="123"/>
        <v>0</v>
      </c>
      <c r="J382" s="436">
        <f t="shared" si="123"/>
        <v>0</v>
      </c>
      <c r="K382" s="436">
        <f t="shared" si="123"/>
        <v>0</v>
      </c>
      <c r="L382" s="436">
        <f t="shared" si="123"/>
        <v>0</v>
      </c>
      <c r="M382" s="436">
        <f t="shared" si="123"/>
        <v>0</v>
      </c>
      <c r="N382" s="436">
        <f t="shared" si="123"/>
        <v>0</v>
      </c>
      <c r="O382" s="436">
        <f t="shared" si="123"/>
        <v>0</v>
      </c>
      <c r="P382" s="436">
        <f t="shared" si="123"/>
        <v>0</v>
      </c>
      <c r="Q382" s="436">
        <f t="shared" si="125"/>
        <v>0</v>
      </c>
      <c r="R382" s="436">
        <f t="shared" si="125"/>
        <v>0</v>
      </c>
      <c r="S382" s="436">
        <f t="shared" si="125"/>
        <v>0</v>
      </c>
      <c r="T382" s="436">
        <f t="shared" si="125"/>
        <v>0</v>
      </c>
      <c r="U382" s="513">
        <f t="shared" si="125"/>
        <v>0</v>
      </c>
    </row>
    <row r="383" spans="3:22" x14ac:dyDescent="0.35">
      <c r="C383" s="514" t="s">
        <v>584</v>
      </c>
      <c r="F383" s="31"/>
      <c r="I383" s="613">
        <f t="shared" si="123"/>
        <v>0</v>
      </c>
      <c r="J383" s="436">
        <f t="shared" si="123"/>
        <v>155099.205261</v>
      </c>
      <c r="K383" s="436">
        <f t="shared" si="123"/>
        <v>156273.92752400003</v>
      </c>
      <c r="L383" s="436">
        <f t="shared" si="123"/>
        <v>148981.63490099998</v>
      </c>
      <c r="M383" s="436">
        <f t="shared" si="123"/>
        <v>132132.21187100001</v>
      </c>
      <c r="N383" s="436">
        <f t="shared" si="123"/>
        <v>169280.16493299999</v>
      </c>
      <c r="O383" s="436">
        <f t="shared" si="123"/>
        <v>167395.99853899999</v>
      </c>
      <c r="P383" s="436">
        <f t="shared" si="123"/>
        <v>237016.87755899999</v>
      </c>
      <c r="Q383" s="436">
        <f t="shared" si="125"/>
        <v>245569.26299400002</v>
      </c>
      <c r="R383" s="436">
        <f t="shared" si="125"/>
        <v>190652.79533300002</v>
      </c>
      <c r="S383" s="436">
        <f t="shared" si="125"/>
        <v>208256.81236799996</v>
      </c>
      <c r="T383" s="436">
        <f t="shared" si="125"/>
        <v>284863.05528999999</v>
      </c>
      <c r="U383" s="513">
        <f t="shared" si="125"/>
        <v>291486.40427499998</v>
      </c>
    </row>
    <row r="384" spans="3:22" x14ac:dyDescent="0.35">
      <c r="C384" s="514" t="s">
        <v>585</v>
      </c>
      <c r="F384" s="31"/>
      <c r="I384" s="613">
        <f t="shared" si="123"/>
        <v>0</v>
      </c>
      <c r="J384" s="436">
        <f t="shared" si="123"/>
        <v>0</v>
      </c>
      <c r="K384" s="436">
        <f t="shared" si="123"/>
        <v>0</v>
      </c>
      <c r="L384" s="436">
        <f t="shared" si="123"/>
        <v>0</v>
      </c>
      <c r="M384" s="436">
        <f t="shared" si="123"/>
        <v>0</v>
      </c>
      <c r="N384" s="436">
        <f t="shared" si="123"/>
        <v>0</v>
      </c>
      <c r="O384" s="436">
        <f t="shared" si="123"/>
        <v>0</v>
      </c>
      <c r="P384" s="436">
        <f t="shared" si="123"/>
        <v>0</v>
      </c>
      <c r="Q384" s="436">
        <f t="shared" si="125"/>
        <v>0</v>
      </c>
      <c r="R384" s="436">
        <f t="shared" si="125"/>
        <v>0</v>
      </c>
      <c r="S384" s="436">
        <f t="shared" si="125"/>
        <v>0</v>
      </c>
      <c r="T384" s="436">
        <f t="shared" si="125"/>
        <v>0</v>
      </c>
      <c r="U384" s="513">
        <f t="shared" si="125"/>
        <v>0</v>
      </c>
    </row>
    <row r="385" spans="1:22" x14ac:dyDescent="0.35">
      <c r="C385" s="514" t="s">
        <v>586</v>
      </c>
      <c r="F385" s="31"/>
      <c r="I385" s="613">
        <f t="shared" si="123"/>
        <v>71821.223914000002</v>
      </c>
      <c r="J385" s="436">
        <f t="shared" si="123"/>
        <v>74177.880776999998</v>
      </c>
      <c r="K385" s="436">
        <f t="shared" si="123"/>
        <v>74739.704468000011</v>
      </c>
      <c r="L385" s="436">
        <f t="shared" si="123"/>
        <v>71252.086257000003</v>
      </c>
      <c r="M385" s="436">
        <f t="shared" si="123"/>
        <v>63193.666547000001</v>
      </c>
      <c r="N385" s="436">
        <f t="shared" si="123"/>
        <v>80960.078881000009</v>
      </c>
      <c r="O385" s="436">
        <f t="shared" si="123"/>
        <v>80058.955822999997</v>
      </c>
      <c r="P385" s="436">
        <f t="shared" si="123"/>
        <v>113355.897963</v>
      </c>
      <c r="Q385" s="436">
        <f t="shared" si="125"/>
        <v>117446.16925800001</v>
      </c>
      <c r="R385" s="436">
        <f t="shared" si="125"/>
        <v>91181.771680999998</v>
      </c>
      <c r="S385" s="436">
        <f t="shared" si="125"/>
        <v>99601.084175999975</v>
      </c>
      <c r="T385" s="436">
        <f t="shared" si="125"/>
        <v>136238.85252999997</v>
      </c>
      <c r="U385" s="513">
        <f t="shared" si="125"/>
        <v>139406.54117499999</v>
      </c>
    </row>
    <row r="386" spans="1:22" x14ac:dyDescent="0.35">
      <c r="C386" s="514" t="s">
        <v>587</v>
      </c>
      <c r="F386" s="31"/>
      <c r="I386" s="613">
        <f t="shared" si="123"/>
        <v>0</v>
      </c>
      <c r="J386" s="436">
        <f t="shared" si="123"/>
        <v>0</v>
      </c>
      <c r="K386" s="436">
        <f t="shared" si="123"/>
        <v>0</v>
      </c>
      <c r="L386" s="436">
        <f t="shared" si="123"/>
        <v>0</v>
      </c>
      <c r="M386" s="436">
        <f t="shared" si="123"/>
        <v>0</v>
      </c>
      <c r="N386" s="436">
        <f t="shared" si="123"/>
        <v>0</v>
      </c>
      <c r="O386" s="436">
        <f t="shared" si="123"/>
        <v>0</v>
      </c>
      <c r="P386" s="436">
        <f t="shared" si="123"/>
        <v>0</v>
      </c>
      <c r="Q386" s="436">
        <f t="shared" si="125"/>
        <v>0</v>
      </c>
      <c r="R386" s="436">
        <f t="shared" si="125"/>
        <v>0</v>
      </c>
      <c r="S386" s="436">
        <f t="shared" si="125"/>
        <v>0</v>
      </c>
      <c r="T386" s="436">
        <f t="shared" si="125"/>
        <v>0</v>
      </c>
      <c r="U386" s="513">
        <f t="shared" si="125"/>
        <v>0</v>
      </c>
    </row>
    <row r="387" spans="1:22" x14ac:dyDescent="0.35">
      <c r="C387" s="514" t="s">
        <v>588</v>
      </c>
      <c r="F387" s="31"/>
      <c r="I387" s="613">
        <f t="shared" si="123"/>
        <v>32646.010870000002</v>
      </c>
      <c r="J387" s="436">
        <f t="shared" si="123"/>
        <v>33717.218535000007</v>
      </c>
      <c r="K387" s="436">
        <f t="shared" si="123"/>
        <v>33972.59294000001</v>
      </c>
      <c r="L387" s="436">
        <f t="shared" si="123"/>
        <v>32387.311935000002</v>
      </c>
      <c r="M387" s="436">
        <f t="shared" si="123"/>
        <v>28724.393885000005</v>
      </c>
      <c r="N387" s="436">
        <f t="shared" si="123"/>
        <v>36800.035855000002</v>
      </c>
      <c r="O387" s="436">
        <f t="shared" si="123"/>
        <v>36390.434465000006</v>
      </c>
      <c r="P387" s="436">
        <f t="shared" si="123"/>
        <v>51525.408165000001</v>
      </c>
      <c r="Q387" s="436">
        <f t="shared" si="125"/>
        <v>53384.622390000011</v>
      </c>
      <c r="R387" s="436">
        <f t="shared" si="125"/>
        <v>41446.259855000004</v>
      </c>
      <c r="S387" s="436">
        <f t="shared" si="125"/>
        <v>45273.220079999999</v>
      </c>
      <c r="T387" s="436">
        <f t="shared" si="125"/>
        <v>61926.751149999996</v>
      </c>
      <c r="U387" s="513">
        <f t="shared" si="125"/>
        <v>63366.609625000005</v>
      </c>
    </row>
    <row r="388" spans="1:22" x14ac:dyDescent="0.35">
      <c r="C388" s="514" t="s">
        <v>277</v>
      </c>
      <c r="F388" s="31"/>
      <c r="I388" s="613">
        <f t="shared" ref="I388:P388" si="126">SUM(I380:I387)</f>
        <v>5387185.3573840009</v>
      </c>
      <c r="J388" s="436">
        <f t="shared" si="126"/>
        <v>5719053.3038730016</v>
      </c>
      <c r="K388" s="436">
        <f t="shared" si="126"/>
        <v>5762369.4461320005</v>
      </c>
      <c r="L388" s="436">
        <f t="shared" si="126"/>
        <v>5493476.964393001</v>
      </c>
      <c r="M388" s="436">
        <f t="shared" si="126"/>
        <v>4872179.4646030013</v>
      </c>
      <c r="N388" s="436">
        <f t="shared" si="126"/>
        <v>6241955.1725690002</v>
      </c>
      <c r="O388" s="436">
        <f t="shared" si="126"/>
        <v>6172479.329527</v>
      </c>
      <c r="P388" s="436">
        <f t="shared" si="126"/>
        <v>8739646.0503870007</v>
      </c>
      <c r="Q388" s="436">
        <f>SUM(Q380:Q387)</f>
        <v>9055002.5868420023</v>
      </c>
      <c r="R388" s="436">
        <f t="shared" ref="R388:U388" si="127">SUM(R380:R387)</f>
        <v>7030039.2397690006</v>
      </c>
      <c r="S388" s="436">
        <f t="shared" si="127"/>
        <v>7679161.2750239996</v>
      </c>
      <c r="T388" s="436">
        <f t="shared" si="127"/>
        <v>10503902.935970001</v>
      </c>
      <c r="U388" s="513">
        <f t="shared" si="127"/>
        <v>10748129.112575002</v>
      </c>
    </row>
    <row r="389" spans="1:22" x14ac:dyDescent="0.35">
      <c r="C389" s="517" t="s">
        <v>277</v>
      </c>
      <c r="D389" s="555"/>
      <c r="E389" s="555"/>
      <c r="F389" s="606"/>
      <c r="I389" s="617">
        <f>I388+I369+I350+I331+I312</f>
        <v>619428655.35327387</v>
      </c>
      <c r="J389" s="518">
        <f t="shared" ref="J389:P389" si="128">J388+J369+J350+J331+J312</f>
        <v>696767082.19910502</v>
      </c>
      <c r="K389" s="518">
        <f t="shared" si="128"/>
        <v>687289926.80010772</v>
      </c>
      <c r="L389" s="518">
        <f t="shared" si="128"/>
        <v>655053111.17275381</v>
      </c>
      <c r="M389" s="518">
        <f t="shared" si="128"/>
        <v>575163990.62616754</v>
      </c>
      <c r="N389" s="518">
        <f t="shared" si="128"/>
        <v>534855283.21679246</v>
      </c>
      <c r="O389" s="518">
        <f t="shared" si="128"/>
        <v>584664030.78889298</v>
      </c>
      <c r="P389" s="518">
        <f t="shared" si="128"/>
        <v>668714986.79889798</v>
      </c>
      <c r="Q389" s="518">
        <f>Q388+Q369+Q350+Q331+Q312</f>
        <v>666346438.88103485</v>
      </c>
      <c r="R389" s="518">
        <f t="shared" ref="R389:U389" si="129">R388+R369+R350+R331+R312</f>
        <v>531488297.62236953</v>
      </c>
      <c r="S389" s="518">
        <f t="shared" si="129"/>
        <v>645882659.69619489</v>
      </c>
      <c r="T389" s="518">
        <f t="shared" si="129"/>
        <v>833066143.338117</v>
      </c>
      <c r="U389" s="519">
        <f t="shared" si="129"/>
        <v>813092105.42610598</v>
      </c>
    </row>
    <row r="390" spans="1:22" x14ac:dyDescent="0.35">
      <c r="U390" s="385"/>
      <c r="V390" s="387" t="e">
        <f>V373+V354+V335+V316+V297+V372+V353+V334+V315+V296</f>
        <v>#REF!</v>
      </c>
    </row>
    <row r="392" spans="1:22" x14ac:dyDescent="0.35">
      <c r="C392" t="s">
        <v>590</v>
      </c>
    </row>
    <row r="394" spans="1:22" x14ac:dyDescent="0.35">
      <c r="C394" s="62" t="s">
        <v>591</v>
      </c>
      <c r="D394" s="63"/>
      <c r="E394" s="64"/>
      <c r="F394" s="64"/>
      <c r="I394" s="467">
        <v>2011</v>
      </c>
      <c r="J394" s="468">
        <v>2012</v>
      </c>
      <c r="K394" s="468">
        <v>2013</v>
      </c>
      <c r="L394" s="468">
        <v>2014</v>
      </c>
      <c r="M394" s="468">
        <v>2015</v>
      </c>
      <c r="N394" s="468">
        <v>2016</v>
      </c>
      <c r="O394" s="468">
        <v>2017</v>
      </c>
      <c r="P394" s="468">
        <v>2018</v>
      </c>
      <c r="Q394" s="468">
        <v>2019</v>
      </c>
      <c r="R394" s="468">
        <v>2020</v>
      </c>
      <c r="S394" s="468">
        <v>2021</v>
      </c>
      <c r="T394" s="468">
        <v>2022</v>
      </c>
      <c r="U394" s="469">
        <v>2023</v>
      </c>
      <c r="V394" s="560"/>
    </row>
    <row r="395" spans="1:22" x14ac:dyDescent="0.35">
      <c r="C395" s="74" t="s">
        <v>592</v>
      </c>
      <c r="F395" s="31"/>
      <c r="I395" s="504">
        <f>I389+I271</f>
        <v>1650274075.9169223</v>
      </c>
      <c r="J395" s="505">
        <f t="shared" ref="J395:T395" si="130">J389+J271</f>
        <v>1799345977.694562</v>
      </c>
      <c r="K395" s="505">
        <f t="shared" si="130"/>
        <v>1897485054.604866</v>
      </c>
      <c r="L395" s="505">
        <f t="shared" si="130"/>
        <v>1772353978.0243294</v>
      </c>
      <c r="M395" s="505">
        <f t="shared" si="130"/>
        <v>1714953804.1981578</v>
      </c>
      <c r="N395" s="505">
        <f t="shared" si="130"/>
        <v>1622545984.9452591</v>
      </c>
      <c r="O395" s="505">
        <f t="shared" si="130"/>
        <v>1696555661.7523577</v>
      </c>
      <c r="P395" s="505">
        <f t="shared" si="130"/>
        <v>1820913608.221566</v>
      </c>
      <c r="Q395" s="505">
        <f t="shared" si="130"/>
        <v>1834859173.7453268</v>
      </c>
      <c r="R395" s="505">
        <f t="shared" si="130"/>
        <v>1650189477.4847047</v>
      </c>
      <c r="S395" s="505">
        <f t="shared" si="130"/>
        <v>1814838258.8521936</v>
      </c>
      <c r="T395" s="505">
        <f t="shared" si="130"/>
        <v>2288700821.5520525</v>
      </c>
      <c r="U395" s="1228">
        <f>U389+U271</f>
        <v>2683328479.6753874</v>
      </c>
    </row>
    <row r="396" spans="1:22" x14ac:dyDescent="0.35">
      <c r="A396" s="407" t="s">
        <v>593</v>
      </c>
      <c r="C396" s="99" t="s">
        <v>594</v>
      </c>
      <c r="D396" s="100"/>
      <c r="E396" s="100"/>
      <c r="F396" s="33"/>
      <c r="I396" s="506">
        <f>I395/10^6</f>
        <v>1650.2740759169224</v>
      </c>
      <c r="J396" s="507">
        <f t="shared" ref="J396:P396" si="131">J395/10^6</f>
        <v>1799.345977694562</v>
      </c>
      <c r="K396" s="507">
        <f t="shared" si="131"/>
        <v>1897.485054604866</v>
      </c>
      <c r="L396" s="507">
        <f t="shared" si="131"/>
        <v>1772.3539780243295</v>
      </c>
      <c r="M396" s="507">
        <f t="shared" si="131"/>
        <v>1714.9538041981577</v>
      </c>
      <c r="N396" s="507">
        <f t="shared" si="131"/>
        <v>1622.5459849452591</v>
      </c>
      <c r="O396" s="507">
        <f t="shared" si="131"/>
        <v>1696.5556617523578</v>
      </c>
      <c r="P396" s="507">
        <f t="shared" si="131"/>
        <v>1820.9136082215659</v>
      </c>
      <c r="Q396" s="507">
        <f>Q395/10^6</f>
        <v>1834.8591737453269</v>
      </c>
      <c r="R396" s="507">
        <f t="shared" ref="R396:T396" si="132">R395/10^6</f>
        <v>1650.1894774847046</v>
      </c>
      <c r="S396" s="507">
        <f t="shared" si="132"/>
        <v>1814.8382588521936</v>
      </c>
      <c r="T396" s="507">
        <f t="shared" si="132"/>
        <v>2288.7008215520523</v>
      </c>
      <c r="U396" s="508">
        <f>U395/10^6</f>
        <v>2683.3284796753874</v>
      </c>
    </row>
  </sheetData>
  <hyperlinks>
    <hyperlink ref="A121" r:id="rId1" display="https://analysesetdonnees.rte-france.com/production/synthese" xr:uid="{D849FA46-2806-4686-80EF-0A0DCA322D8A}"/>
    <hyperlink ref="A170" r:id="rId2" display="https://librairie.ademe.fr/batiment/493-depenses-energetiques-des-collectivites-locales.html" xr:uid="{F6D2EA88-B4F4-4290-90AF-0E8BC41A3D6A}"/>
    <hyperlink ref="A177" r:id="rId3" display="https://librairie.ademe.fr/batiment/493-depenses-energetiques-des-collectivites-locales.html" xr:uid="{20C0A496-0341-402E-B008-57B88E32DDB8}"/>
    <hyperlink ref="A186" r:id="rId4" display="https://librairie.ademe.fr/batiment/493-depenses-energetiques-des-collectivites-locales.html" xr:uid="{12127571-7B82-4FA2-A99F-2B83BB3C11F9}"/>
    <hyperlink ref="A195" r:id="rId5" display="https://librairie.ademe.fr/batiment/493-depenses-energetiques-des-collectivites-locales.html" xr:uid="{36EF4209-89AD-4BE2-AAA6-1938645B8163}"/>
    <hyperlink ref="A276" r:id="rId6" display="https://librairie.ademe.fr/batiment/493-depenses-energetiques-des-collectivites-locales.html" xr:uid="{F5299DFB-E7DB-4788-86BB-9F00D2C632FA}"/>
    <hyperlink ref="A163" r:id="rId7" display="https://view.officeapps.live.com/op/view.aspx?src=https%3A%2F%2Fwww.statistiques.developpement-durable.gouv.fr%2Fmedia%2F7601%2Fdownload%3Finline&amp;wdOrigin=BROWSELINK" xr:uid="{5351D742-1D68-408C-A01A-77D1F13715A0}"/>
    <hyperlink ref="A167" r:id="rId8" display="https://view.officeapps.live.com/op/view.aspx?src=https%3A%2F%2Fwww.statistiques.developpement-durable.gouv.fr%2Fmedia%2F7601%2Fdownload%3Finline&amp;wdOrigin=BROWSELINK" xr:uid="{8A94B40F-FAF9-4710-A095-3486708F0500}"/>
    <hyperlink ref="A95" r:id="rId9" display="https://www.statistiques.developpement-durable.gouv.fr/les-reseaux-de-chaleur-et-froid-en-2023" xr:uid="{E85BDC09-DC5E-40FD-90B5-1833914FB33B}"/>
    <hyperlink ref="A132" r:id="rId10" display="https://analysesetdonnees.rte-france.com/production/synthese" xr:uid="{1EC302DB-A21F-4E14-823B-142818B92C64}"/>
  </hyperlinks>
  <pageMargins left="0.7" right="0.7" top="0.75" bottom="0.75" header="0.3" footer="0.3"/>
  <pageSetup paperSize="9" orientation="portrait"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560C7-5E73-4B07-B9F4-36D799747B8F}">
  <sheetPr>
    <tabColor theme="2" tint="-9.9978637043366805E-2"/>
  </sheetPr>
  <dimension ref="A1:V443"/>
  <sheetViews>
    <sheetView showGridLines="0" zoomScale="55" zoomScaleNormal="55" workbookViewId="0">
      <pane ySplit="1" topLeftCell="A41" activePane="bottomLeft" state="frozen"/>
      <selection activeCell="B1" sqref="B1"/>
      <selection pane="bottomLeft" activeCell="L82" sqref="L82"/>
    </sheetView>
  </sheetViews>
  <sheetFormatPr baseColWidth="10" defaultColWidth="11.453125" defaultRowHeight="14.5" x14ac:dyDescent="0.35"/>
  <sheetData>
    <row r="1" spans="1:20" ht="21" x14ac:dyDescent="0.35">
      <c r="A1" s="2" t="s">
        <v>595</v>
      </c>
      <c r="B1" s="2" t="s">
        <v>596</v>
      </c>
      <c r="C1" s="1" t="s">
        <v>597</v>
      </c>
      <c r="D1" s="2"/>
      <c r="E1" s="2"/>
      <c r="F1" s="2"/>
      <c r="G1" s="128">
        <v>2011</v>
      </c>
      <c r="H1" s="128">
        <v>2012</v>
      </c>
      <c r="I1" s="128">
        <v>2013</v>
      </c>
      <c r="J1" s="128">
        <v>2014</v>
      </c>
      <c r="K1" s="128">
        <v>2015</v>
      </c>
      <c r="L1" s="128">
        <v>2016</v>
      </c>
      <c r="M1" s="128">
        <v>2017</v>
      </c>
      <c r="N1" s="128">
        <v>2018</v>
      </c>
      <c r="O1" s="128">
        <v>2019</v>
      </c>
      <c r="P1" s="128">
        <v>2020</v>
      </c>
      <c r="Q1" s="128">
        <v>2021</v>
      </c>
      <c r="R1" s="128">
        <v>2022</v>
      </c>
      <c r="S1" s="128">
        <v>2023</v>
      </c>
      <c r="T1" s="128">
        <v>2024</v>
      </c>
    </row>
    <row r="2" spans="1:20" x14ac:dyDescent="0.35">
      <c r="A2" t="s">
        <v>598</v>
      </c>
      <c r="B2" s="119">
        <v>45803</v>
      </c>
    </row>
    <row r="3" spans="1:20" x14ac:dyDescent="0.35">
      <c r="C3" t="s">
        <v>599</v>
      </c>
    </row>
    <row r="5" spans="1:20" ht="18.5" x14ac:dyDescent="0.35">
      <c r="A5" s="2"/>
      <c r="B5" s="2"/>
      <c r="C5" s="618" t="s">
        <v>600</v>
      </c>
      <c r="D5" s="619"/>
      <c r="E5" s="619"/>
      <c r="F5" s="620"/>
      <c r="G5" s="2"/>
      <c r="H5" s="2"/>
      <c r="I5" s="2"/>
      <c r="J5" s="2"/>
      <c r="K5" s="2"/>
      <c r="L5" s="2"/>
      <c r="M5" s="2"/>
      <c r="N5" s="2"/>
      <c r="O5" s="2"/>
      <c r="P5" s="2"/>
      <c r="Q5" s="2"/>
      <c r="R5" s="2"/>
      <c r="S5" s="2"/>
      <c r="T5" s="2"/>
    </row>
    <row r="6" spans="1:20" x14ac:dyDescent="0.35">
      <c r="A6" s="2"/>
      <c r="B6" s="2"/>
      <c r="C6" s="35"/>
      <c r="D6" s="2"/>
      <c r="E6" s="2"/>
      <c r="F6" s="2"/>
      <c r="G6" s="2"/>
      <c r="H6" s="2"/>
      <c r="I6" s="2"/>
      <c r="J6" s="2"/>
      <c r="K6" s="2"/>
      <c r="L6" s="2"/>
      <c r="M6" s="2"/>
      <c r="N6" s="2"/>
      <c r="O6" s="2"/>
      <c r="P6" s="2"/>
      <c r="Q6" s="2"/>
      <c r="R6" s="2"/>
      <c r="S6" s="2"/>
      <c r="T6" s="2"/>
    </row>
    <row r="7" spans="1:20" x14ac:dyDescent="0.35">
      <c r="A7" t="s">
        <v>598</v>
      </c>
      <c r="B7" s="119">
        <v>45803</v>
      </c>
      <c r="C7" s="35" t="s">
        <v>601</v>
      </c>
      <c r="D7" s="2"/>
      <c r="E7" s="2"/>
      <c r="F7" s="2"/>
      <c r="G7" s="2"/>
      <c r="H7" s="2"/>
      <c r="I7" s="2"/>
      <c r="J7" s="2"/>
      <c r="K7" s="2"/>
      <c r="L7" s="2"/>
      <c r="M7" s="2"/>
      <c r="N7" s="2"/>
      <c r="O7" s="2"/>
      <c r="P7" s="2"/>
      <c r="Q7" s="2"/>
      <c r="R7" s="2"/>
      <c r="S7" s="2"/>
      <c r="T7" s="2"/>
    </row>
    <row r="8" spans="1:20" x14ac:dyDescent="0.35">
      <c r="A8" s="2"/>
      <c r="B8" s="2"/>
      <c r="C8" s="16"/>
      <c r="D8" s="17"/>
      <c r="E8" s="17" t="s">
        <v>431</v>
      </c>
      <c r="F8" s="17" t="s">
        <v>432</v>
      </c>
      <c r="G8" s="621">
        <v>2011</v>
      </c>
      <c r="H8" s="621">
        <v>2012</v>
      </c>
      <c r="I8" s="621">
        <v>2013</v>
      </c>
      <c r="J8" s="621">
        <v>2014</v>
      </c>
      <c r="K8" s="621">
        <v>2015</v>
      </c>
      <c r="L8" s="621">
        <v>2016</v>
      </c>
      <c r="M8" s="621">
        <v>2017</v>
      </c>
      <c r="N8" s="621">
        <v>2018</v>
      </c>
      <c r="O8" s="621">
        <v>2019</v>
      </c>
      <c r="P8" s="621">
        <v>2020</v>
      </c>
      <c r="Q8" s="621">
        <v>2021</v>
      </c>
      <c r="R8" s="621">
        <v>2022</v>
      </c>
      <c r="S8" s="621">
        <v>2023</v>
      </c>
      <c r="T8" s="621">
        <v>2024</v>
      </c>
    </row>
    <row r="9" spans="1:20" x14ac:dyDescent="0.35">
      <c r="A9" s="2"/>
      <c r="B9" s="2"/>
      <c r="C9" s="36" t="s">
        <v>602</v>
      </c>
      <c r="D9" s="19"/>
      <c r="E9" s="622" t="s">
        <v>603</v>
      </c>
      <c r="F9" s="24"/>
      <c r="G9" s="623">
        <v>48.166189427312766</v>
      </c>
      <c r="H9" s="623">
        <v>49.707612885462545</v>
      </c>
      <c r="I9" s="623">
        <v>51.432768218623472</v>
      </c>
      <c r="J9" s="623">
        <v>52.76892086330934</v>
      </c>
      <c r="K9" s="623">
        <v>53.40654205607477</v>
      </c>
      <c r="L9" s="623">
        <v>46.539920556107248</v>
      </c>
      <c r="M9" s="623">
        <v>64.481062967581053</v>
      </c>
      <c r="N9" s="623">
        <v>64.473498774509792</v>
      </c>
      <c r="O9" s="623">
        <v>73.274335031126213</v>
      </c>
      <c r="P9" s="623">
        <v>75.041378378378383</v>
      </c>
      <c r="Q9" s="623">
        <v>78.769921465968579</v>
      </c>
      <c r="R9" s="623">
        <v>102.94021118721463</v>
      </c>
      <c r="S9" s="623">
        <v>210.56459487179492</v>
      </c>
      <c r="T9" s="623">
        <v>0</v>
      </c>
    </row>
    <row r="10" spans="1:20" x14ac:dyDescent="0.35">
      <c r="A10" s="2"/>
      <c r="B10" s="2"/>
      <c r="C10" s="249" t="s">
        <v>604</v>
      </c>
      <c r="D10" s="2"/>
      <c r="E10" s="624" t="s">
        <v>268</v>
      </c>
      <c r="F10" s="26"/>
      <c r="G10" s="625">
        <v>27.480396475770917</v>
      </c>
      <c r="H10" s="625">
        <v>28.359829295154178</v>
      </c>
      <c r="I10" s="625">
        <v>28.732818825910933</v>
      </c>
      <c r="J10" s="625">
        <v>29.949928057553951</v>
      </c>
      <c r="K10" s="625">
        <v>29.710280373831779</v>
      </c>
      <c r="L10" s="625">
        <v>30.047368421052639</v>
      </c>
      <c r="M10" s="625">
        <v>43.143937032418954</v>
      </c>
      <c r="N10" s="625">
        <v>44.001501225490195</v>
      </c>
      <c r="O10" s="625">
        <v>43.475664968873801</v>
      </c>
      <c r="P10" s="625">
        <v>42.508621621621629</v>
      </c>
      <c r="Q10" s="625">
        <v>41.880078534031412</v>
      </c>
      <c r="R10" s="625">
        <v>36.434788812785399</v>
      </c>
      <c r="S10" s="625">
        <v>35.835405128205124</v>
      </c>
      <c r="T10" s="625">
        <v>0</v>
      </c>
    </row>
    <row r="11" spans="1:20" x14ac:dyDescent="0.35">
      <c r="A11" s="2"/>
      <c r="B11" s="2"/>
      <c r="C11" s="249" t="s">
        <v>605</v>
      </c>
      <c r="D11" s="2"/>
      <c r="E11" s="624" t="s">
        <v>268</v>
      </c>
      <c r="F11" s="26"/>
      <c r="G11" s="625">
        <v>8.25</v>
      </c>
      <c r="H11" s="625">
        <v>9.75</v>
      </c>
      <c r="I11" s="625">
        <v>13.5</v>
      </c>
      <c r="J11" s="625">
        <v>16.5</v>
      </c>
      <c r="K11" s="625">
        <v>19.5</v>
      </c>
      <c r="L11" s="625">
        <v>22.5</v>
      </c>
      <c r="M11" s="625">
        <v>22.5</v>
      </c>
      <c r="N11" s="625">
        <v>22.5</v>
      </c>
      <c r="O11" s="625">
        <v>22.5</v>
      </c>
      <c r="P11" s="625">
        <v>22.5</v>
      </c>
      <c r="Q11" s="625">
        <v>22.5</v>
      </c>
      <c r="R11" s="625">
        <v>2.7916666666666665</v>
      </c>
      <c r="S11" s="625">
        <v>1</v>
      </c>
      <c r="T11" s="625">
        <v>0</v>
      </c>
    </row>
    <row r="12" spans="1:20" x14ac:dyDescent="0.35">
      <c r="A12" s="2"/>
      <c r="B12" s="2"/>
      <c r="C12" s="249" t="s">
        <v>606</v>
      </c>
      <c r="D12" s="2"/>
      <c r="E12" s="624" t="s">
        <v>268</v>
      </c>
      <c r="F12" s="26"/>
      <c r="G12" s="625">
        <v>7.5034140969163019</v>
      </c>
      <c r="H12" s="625">
        <v>6.5075578193832655</v>
      </c>
      <c r="I12" s="625">
        <v>7.3594129554656007</v>
      </c>
      <c r="J12" s="625">
        <v>6.9811510791366942</v>
      </c>
      <c r="K12" s="625">
        <v>7.3831775700934514</v>
      </c>
      <c r="L12" s="625">
        <v>4.7127110228401108</v>
      </c>
      <c r="M12" s="625">
        <v>-22.5</v>
      </c>
      <c r="N12" s="625">
        <v>-22.5</v>
      </c>
      <c r="O12" s="625">
        <v>-22.5</v>
      </c>
      <c r="P12" s="625">
        <v>-22.5</v>
      </c>
      <c r="Q12" s="625">
        <v>-22.499999999999972</v>
      </c>
      <c r="R12" s="625">
        <v>-2.7916666666666856</v>
      </c>
      <c r="S12" s="625">
        <v>-1</v>
      </c>
      <c r="T12" s="625">
        <v>0</v>
      </c>
    </row>
    <row r="13" spans="1:20" x14ac:dyDescent="0.35">
      <c r="A13" s="2"/>
      <c r="B13" s="2"/>
      <c r="C13" s="77" t="s">
        <v>607</v>
      </c>
      <c r="D13" s="17"/>
      <c r="E13" s="626"/>
      <c r="F13" s="23"/>
      <c r="G13" s="627">
        <v>91.399999999999991</v>
      </c>
      <c r="H13" s="627">
        <v>94.324999999999989</v>
      </c>
      <c r="I13" s="627">
        <v>101.02500000000001</v>
      </c>
      <c r="J13" s="627">
        <v>106.19999999999999</v>
      </c>
      <c r="K13" s="627">
        <v>110</v>
      </c>
      <c r="L13" s="627">
        <v>103.8</v>
      </c>
      <c r="M13" s="627">
        <v>107.625</v>
      </c>
      <c r="N13" s="627">
        <v>108.47499999999999</v>
      </c>
      <c r="O13" s="627">
        <v>116.75</v>
      </c>
      <c r="P13" s="627">
        <v>117.55000000000001</v>
      </c>
      <c r="Q13" s="627">
        <v>120.65</v>
      </c>
      <c r="R13" s="627">
        <v>139.375</v>
      </c>
      <c r="S13" s="627">
        <v>246.40000000000003</v>
      </c>
      <c r="T13" s="627">
        <v>0</v>
      </c>
    </row>
    <row r="14" spans="1:20" x14ac:dyDescent="0.35">
      <c r="A14" s="2"/>
      <c r="B14" s="2"/>
      <c r="C14" s="35"/>
      <c r="D14" s="2"/>
      <c r="E14" s="624"/>
      <c r="F14" s="2"/>
      <c r="G14" s="1310"/>
      <c r="H14" s="1310"/>
      <c r="I14" s="1310"/>
      <c r="J14" s="1310"/>
      <c r="K14" s="1310"/>
      <c r="L14" s="1310"/>
      <c r="M14" s="1310"/>
      <c r="N14" s="1310"/>
      <c r="O14" s="1310"/>
      <c r="P14" s="1310"/>
      <c r="Q14" s="1310"/>
      <c r="R14" s="1310"/>
      <c r="S14" s="1310"/>
      <c r="T14" s="1310"/>
    </row>
    <row r="15" spans="1:20" x14ac:dyDescent="0.35">
      <c r="C15" s="144" t="s">
        <v>608</v>
      </c>
      <c r="E15" s="248" t="s">
        <v>609</v>
      </c>
    </row>
    <row r="16" spans="1:20" x14ac:dyDescent="0.35">
      <c r="C16" s="144"/>
      <c r="E16" s="248"/>
    </row>
    <row r="17" spans="1:20" ht="18.5" x14ac:dyDescent="0.35">
      <c r="A17" t="s">
        <v>598</v>
      </c>
      <c r="B17" s="119">
        <v>45803</v>
      </c>
      <c r="C17" s="628" t="s">
        <v>228</v>
      </c>
      <c r="D17" s="629"/>
      <c r="E17" s="629"/>
      <c r="F17" s="630"/>
      <c r="G17" s="2"/>
      <c r="H17" s="2"/>
      <c r="I17" s="2"/>
      <c r="J17" s="2"/>
      <c r="K17" s="2"/>
      <c r="L17" s="2"/>
      <c r="M17" s="2"/>
      <c r="N17" s="2"/>
      <c r="O17" s="2"/>
      <c r="P17" s="2"/>
      <c r="Q17" s="2"/>
      <c r="R17" s="2"/>
      <c r="S17" s="2"/>
      <c r="T17" s="2"/>
    </row>
    <row r="18" spans="1:20" x14ac:dyDescent="0.35">
      <c r="A18" s="2"/>
      <c r="B18" s="2"/>
      <c r="C18" s="2"/>
      <c r="D18" s="2"/>
      <c r="E18" s="2"/>
      <c r="F18" s="2"/>
      <c r="G18" s="2"/>
      <c r="H18" s="2"/>
      <c r="I18" s="2"/>
      <c r="J18" s="2"/>
      <c r="K18" s="2"/>
      <c r="L18" s="2"/>
      <c r="M18" s="2"/>
      <c r="N18" s="2"/>
      <c r="O18" s="2"/>
      <c r="P18" s="2"/>
      <c r="Q18" s="2"/>
      <c r="R18" s="2"/>
      <c r="S18" s="2"/>
      <c r="T18" s="2"/>
    </row>
    <row r="19" spans="1:20" x14ac:dyDescent="0.35">
      <c r="A19" s="2"/>
      <c r="B19" s="2"/>
      <c r="C19" s="35" t="s">
        <v>610</v>
      </c>
      <c r="D19" s="2"/>
      <c r="E19" s="2"/>
      <c r="F19" s="2"/>
      <c r="G19" s="2"/>
      <c r="H19" s="2"/>
      <c r="I19" s="2"/>
      <c r="J19" s="2"/>
      <c r="K19" s="2"/>
      <c r="L19" s="2"/>
      <c r="M19" s="2"/>
      <c r="N19" s="2"/>
      <c r="O19" s="2"/>
      <c r="P19" s="2"/>
      <c r="Q19" s="2"/>
      <c r="R19" s="2"/>
      <c r="S19" s="2"/>
      <c r="T19" s="2"/>
    </row>
    <row r="20" spans="1:20" x14ac:dyDescent="0.35">
      <c r="A20" s="2"/>
      <c r="B20" s="2"/>
      <c r="C20" s="16"/>
      <c r="D20" s="17"/>
      <c r="E20" s="17"/>
      <c r="F20" s="17"/>
      <c r="G20" s="621">
        <v>2011</v>
      </c>
      <c r="H20" s="621">
        <v>2012</v>
      </c>
      <c r="I20" s="621">
        <v>2013</v>
      </c>
      <c r="J20" s="621">
        <v>2014</v>
      </c>
      <c r="K20" s="621">
        <v>2015</v>
      </c>
      <c r="L20" s="621">
        <v>2016</v>
      </c>
      <c r="M20" s="621">
        <v>2017</v>
      </c>
      <c r="N20" s="621">
        <v>2018</v>
      </c>
      <c r="O20" s="621">
        <v>2019</v>
      </c>
      <c r="P20" s="621">
        <v>2020</v>
      </c>
      <c r="Q20" s="621">
        <v>2021</v>
      </c>
      <c r="R20" s="621">
        <v>2022</v>
      </c>
      <c r="S20" s="621">
        <v>2023</v>
      </c>
      <c r="T20" s="621">
        <v>2024</v>
      </c>
    </row>
    <row r="21" spans="1:20" x14ac:dyDescent="0.35">
      <c r="A21" s="2"/>
      <c r="B21" s="2"/>
      <c r="C21" s="1312" t="s">
        <v>611</v>
      </c>
      <c r="D21" s="19"/>
      <c r="E21" s="622" t="s">
        <v>612</v>
      </c>
      <c r="F21" s="24"/>
      <c r="G21" s="623">
        <v>10.02</v>
      </c>
      <c r="H21" s="623">
        <v>10.69</v>
      </c>
      <c r="I21" s="623">
        <v>10.734999999999999</v>
      </c>
      <c r="J21" s="623">
        <v>10.18</v>
      </c>
      <c r="K21" s="623">
        <v>9.4250000000000007</v>
      </c>
      <c r="L21" s="623">
        <v>8.58</v>
      </c>
      <c r="M21" s="623">
        <v>7.8483499999999999</v>
      </c>
      <c r="N21" s="623">
        <v>8.2760999999999996</v>
      </c>
      <c r="O21" s="623">
        <v>8.3850999999999996</v>
      </c>
      <c r="P21" s="623">
        <v>7.6120999999999999</v>
      </c>
      <c r="Q21" s="623">
        <v>9.7636000000000003</v>
      </c>
      <c r="R21" s="623">
        <v>16.773849999999999</v>
      </c>
      <c r="S21" s="623">
        <v>20.6752</v>
      </c>
      <c r="T21" s="623">
        <v>0</v>
      </c>
    </row>
    <row r="22" spans="1:20" x14ac:dyDescent="0.35">
      <c r="A22" s="2"/>
      <c r="B22" s="2"/>
      <c r="C22" s="1313" t="s">
        <v>613</v>
      </c>
      <c r="D22" s="2"/>
      <c r="E22" s="624" t="s">
        <v>268</v>
      </c>
      <c r="F22" s="26"/>
      <c r="G22" s="625">
        <v>0.29500000000000171</v>
      </c>
      <c r="H22" s="625">
        <v>0.3100000000000005</v>
      </c>
      <c r="I22" s="625">
        <v>0.33000000000000007</v>
      </c>
      <c r="J22" s="625">
        <v>0.44999999999999929</v>
      </c>
      <c r="K22" s="625">
        <v>0.91000000000000014</v>
      </c>
      <c r="L22" s="625">
        <v>1.2999999999999989</v>
      </c>
      <c r="M22" s="625">
        <v>1.5579000000000001</v>
      </c>
      <c r="N22" s="625">
        <v>2.0390000000000015</v>
      </c>
      <c r="O22" s="625">
        <v>1.9882500000000007</v>
      </c>
      <c r="P22" s="625">
        <v>1.9652000000000012</v>
      </c>
      <c r="Q22" s="625">
        <v>2.0015000000000001</v>
      </c>
      <c r="R22" s="625">
        <v>1.9449500000000022</v>
      </c>
      <c r="S22" s="625">
        <v>1.8840000000000003</v>
      </c>
      <c r="T22" s="625">
        <v>0</v>
      </c>
    </row>
    <row r="23" spans="1:20" x14ac:dyDescent="0.35">
      <c r="A23" s="2"/>
      <c r="B23" s="2"/>
      <c r="C23" s="1313" t="s">
        <v>614</v>
      </c>
      <c r="D23" s="2"/>
      <c r="E23" s="624" t="s">
        <v>268</v>
      </c>
      <c r="F23" s="26"/>
      <c r="G23" s="625">
        <v>1.884999999999998</v>
      </c>
      <c r="H23" s="625">
        <v>2.0399999999999991</v>
      </c>
      <c r="I23" s="625">
        <v>1.9650000000000016</v>
      </c>
      <c r="J23" s="625">
        <v>1.875</v>
      </c>
      <c r="K23" s="625">
        <v>1.7249999999999996</v>
      </c>
      <c r="L23" s="625">
        <v>1.5200000000000014</v>
      </c>
      <c r="M23" s="625">
        <v>1.6352000000000011</v>
      </c>
      <c r="N23" s="625">
        <v>1.7729999999999997</v>
      </c>
      <c r="O23" s="625">
        <v>1.7759499999999999</v>
      </c>
      <c r="P23" s="625">
        <v>1.6498499999999989</v>
      </c>
      <c r="Q23" s="625">
        <v>2.0474999999999994</v>
      </c>
      <c r="R23" s="625">
        <v>3.3806999999999974</v>
      </c>
      <c r="S23" s="625">
        <v>4.1630000000000003</v>
      </c>
      <c r="T23" s="625">
        <v>0</v>
      </c>
    </row>
    <row r="24" spans="1:20" x14ac:dyDescent="0.35">
      <c r="A24" s="2"/>
      <c r="B24" s="2"/>
      <c r="C24" s="77" t="s">
        <v>615</v>
      </c>
      <c r="D24" s="17"/>
      <c r="E24" s="626" t="s">
        <v>268</v>
      </c>
      <c r="F24" s="23"/>
      <c r="G24" s="627">
        <v>12.2</v>
      </c>
      <c r="H24" s="627">
        <v>13.04</v>
      </c>
      <c r="I24" s="627">
        <v>13.030000000000001</v>
      </c>
      <c r="J24" s="627">
        <v>12.504999999999999</v>
      </c>
      <c r="K24" s="627">
        <v>12.06</v>
      </c>
      <c r="L24" s="627">
        <v>11.4</v>
      </c>
      <c r="M24" s="627">
        <v>11.041450000000001</v>
      </c>
      <c r="N24" s="627">
        <v>12.088100000000001</v>
      </c>
      <c r="O24" s="627">
        <v>12.1493</v>
      </c>
      <c r="P24" s="627">
        <v>11.22715</v>
      </c>
      <c r="Q24" s="627">
        <v>13.8126</v>
      </c>
      <c r="R24" s="627">
        <v>22.099499999999999</v>
      </c>
      <c r="S24" s="627">
        <v>26.722200000000001</v>
      </c>
      <c r="T24" s="627">
        <v>0</v>
      </c>
    </row>
    <row r="26" spans="1:20" x14ac:dyDescent="0.35">
      <c r="A26" s="2"/>
      <c r="B26" s="2"/>
      <c r="C26" s="35" t="s">
        <v>610</v>
      </c>
      <c r="D26" s="2"/>
      <c r="E26" s="2"/>
      <c r="F26" s="2"/>
      <c r="G26" s="2"/>
      <c r="H26" s="2"/>
      <c r="I26" s="2"/>
      <c r="J26" s="2"/>
      <c r="K26" s="2"/>
      <c r="L26" s="2"/>
      <c r="M26" s="2"/>
      <c r="N26" s="2"/>
      <c r="O26" s="2"/>
      <c r="P26" s="2"/>
      <c r="Q26" s="2"/>
      <c r="R26" s="2"/>
      <c r="S26" s="2"/>
      <c r="T26" s="2"/>
    </row>
    <row r="27" spans="1:20" x14ac:dyDescent="0.35">
      <c r="A27" s="2"/>
      <c r="B27" s="2"/>
      <c r="C27" s="16"/>
      <c r="D27" s="17"/>
      <c r="E27" s="17"/>
      <c r="F27" s="17"/>
      <c r="G27" s="621">
        <v>2011</v>
      </c>
      <c r="H27" s="621">
        <v>2012</v>
      </c>
      <c r="I27" s="621">
        <v>2013</v>
      </c>
      <c r="J27" s="621">
        <v>2014</v>
      </c>
      <c r="K27" s="621">
        <v>2015</v>
      </c>
      <c r="L27" s="621">
        <v>2016</v>
      </c>
      <c r="M27" s="621">
        <v>2017</v>
      </c>
      <c r="N27" s="621">
        <v>2018</v>
      </c>
      <c r="O27" s="621">
        <v>2019</v>
      </c>
      <c r="P27" s="621">
        <v>2020</v>
      </c>
      <c r="Q27" s="621">
        <v>2021</v>
      </c>
      <c r="R27" s="621">
        <v>2022</v>
      </c>
      <c r="S27" s="621">
        <v>2023</v>
      </c>
      <c r="T27" s="621">
        <v>2024</v>
      </c>
    </row>
    <row r="28" spans="1:20" x14ac:dyDescent="0.35">
      <c r="A28" s="2"/>
      <c r="B28" s="2"/>
      <c r="C28" s="1312" t="s">
        <v>611</v>
      </c>
      <c r="D28" s="19"/>
      <c r="E28" s="622" t="s">
        <v>616</v>
      </c>
      <c r="F28" s="24"/>
      <c r="G28" s="623">
        <v>32.468046804680469</v>
      </c>
      <c r="H28" s="623">
        <v>34.639063906390639</v>
      </c>
      <c r="I28" s="623">
        <v>34.784878487848786</v>
      </c>
      <c r="J28" s="623">
        <v>32.986498649864984</v>
      </c>
      <c r="K28" s="623">
        <v>30.540054005400542</v>
      </c>
      <c r="L28" s="623">
        <v>27.801980198019802</v>
      </c>
      <c r="M28" s="623">
        <v>25.431197119711971</v>
      </c>
      <c r="N28" s="623">
        <v>26.817245724572455</v>
      </c>
      <c r="O28" s="623">
        <v>27.170441044104408</v>
      </c>
      <c r="P28" s="623">
        <v>24.665670567056704</v>
      </c>
      <c r="Q28" s="623">
        <v>31.637227722772277</v>
      </c>
      <c r="R28" s="623">
        <v>54.352709270927093</v>
      </c>
      <c r="S28" s="623">
        <v>66.994347434743474</v>
      </c>
      <c r="T28" s="623">
        <v>0</v>
      </c>
    </row>
    <row r="29" spans="1:20" x14ac:dyDescent="0.35">
      <c r="A29" s="2"/>
      <c r="B29" s="2"/>
      <c r="C29" s="1313" t="s">
        <v>613</v>
      </c>
      <c r="D29" s="2"/>
      <c r="E29" s="624" t="s">
        <v>268</v>
      </c>
      <c r="F29" s="26"/>
      <c r="G29" s="625">
        <v>0.95589558955896137</v>
      </c>
      <c r="H29" s="625">
        <v>1.0045004500450061</v>
      </c>
      <c r="I29" s="625">
        <v>1.0693069306930696</v>
      </c>
      <c r="J29" s="625">
        <v>1.4581458145814559</v>
      </c>
      <c r="K29" s="625">
        <v>2.9486948694869493</v>
      </c>
      <c r="L29" s="625">
        <v>4.2124212421242087</v>
      </c>
      <c r="M29" s="625">
        <v>5.0481008100810083</v>
      </c>
      <c r="N29" s="625">
        <v>6.6070207020702121</v>
      </c>
      <c r="O29" s="625">
        <v>6.4425742574257452</v>
      </c>
      <c r="P29" s="625">
        <v>6.3678847884788512</v>
      </c>
      <c r="Q29" s="625">
        <v>6.4855085508550854</v>
      </c>
      <c r="R29" s="625">
        <v>6.3022682268226893</v>
      </c>
      <c r="S29" s="625">
        <v>6.1047704770477056</v>
      </c>
      <c r="T29" s="625">
        <v>0</v>
      </c>
    </row>
    <row r="30" spans="1:20" x14ac:dyDescent="0.35">
      <c r="A30" s="2"/>
      <c r="B30" s="2"/>
      <c r="C30" s="1313" t="s">
        <v>614</v>
      </c>
      <c r="D30" s="2"/>
      <c r="E30" s="624" t="s">
        <v>268</v>
      </c>
      <c r="F30" s="26"/>
      <c r="G30" s="625">
        <v>6.1080108010801011</v>
      </c>
      <c r="H30" s="625">
        <v>6.6102610261026076</v>
      </c>
      <c r="I30" s="625">
        <v>6.3672367236723728</v>
      </c>
      <c r="J30" s="625">
        <v>6.075607560756076</v>
      </c>
      <c r="K30" s="625">
        <v>5.5895589558955887</v>
      </c>
      <c r="L30" s="625">
        <v>4.9252925292529293</v>
      </c>
      <c r="M30" s="625">
        <v>5.2985778577857818</v>
      </c>
      <c r="N30" s="625">
        <v>5.7450945094509445</v>
      </c>
      <c r="O30" s="625">
        <v>5.754653465346534</v>
      </c>
      <c r="P30" s="625">
        <v>5.3460486048604823</v>
      </c>
      <c r="Q30" s="625">
        <v>6.6345634563456324</v>
      </c>
      <c r="R30" s="625">
        <v>10.954563456345626</v>
      </c>
      <c r="S30" s="625">
        <v>13.489468946894689</v>
      </c>
      <c r="T30" s="625">
        <v>0</v>
      </c>
    </row>
    <row r="31" spans="1:20" x14ac:dyDescent="0.35">
      <c r="A31" s="1311" t="s">
        <v>617</v>
      </c>
      <c r="B31" s="2"/>
      <c r="C31" s="77" t="s">
        <v>615</v>
      </c>
      <c r="D31" s="17"/>
      <c r="E31" s="626" t="s">
        <v>268</v>
      </c>
      <c r="F31" s="23"/>
      <c r="G31" s="627">
        <v>39.531953195319531</v>
      </c>
      <c r="H31" s="627">
        <v>42.253825382538253</v>
      </c>
      <c r="I31" s="627">
        <v>42.221422142214223</v>
      </c>
      <c r="J31" s="627">
        <v>40.520252025202517</v>
      </c>
      <c r="K31" s="627">
        <v>39.078307830783082</v>
      </c>
      <c r="L31" s="627">
        <v>36.939693969396941</v>
      </c>
      <c r="M31" s="627">
        <v>35.777875787578758</v>
      </c>
      <c r="N31" s="627">
        <v>39.169360936093611</v>
      </c>
      <c r="O31" s="627">
        <v>39.36766876687669</v>
      </c>
      <c r="P31" s="627">
        <v>36.379603960396039</v>
      </c>
      <c r="Q31" s="627">
        <v>44.757299729972992</v>
      </c>
      <c r="R31" s="627">
        <v>71.609540954095408</v>
      </c>
      <c r="S31" s="627">
        <v>86.588586858685872</v>
      </c>
      <c r="T31" s="627">
        <v>0</v>
      </c>
    </row>
    <row r="32" spans="1:20" x14ac:dyDescent="0.35">
      <c r="A32" s="2"/>
      <c r="B32" s="2"/>
      <c r="C32" s="35"/>
      <c r="D32" s="2"/>
      <c r="E32" s="624"/>
      <c r="F32" s="2"/>
      <c r="G32" s="1310"/>
      <c r="H32" s="1310"/>
      <c r="I32" s="1310"/>
      <c r="J32" s="1310"/>
      <c r="K32" s="1310"/>
      <c r="L32" s="1310"/>
      <c r="M32" s="1310"/>
      <c r="N32" s="1310"/>
      <c r="O32" s="1310"/>
      <c r="P32" s="1310"/>
      <c r="Q32" s="1310"/>
      <c r="R32" s="1310"/>
      <c r="S32" s="1310"/>
      <c r="T32" s="1310"/>
    </row>
    <row r="33" spans="1:19" x14ac:dyDescent="0.35">
      <c r="C33" s="144" t="s">
        <v>608</v>
      </c>
      <c r="E33" s="248" t="s">
        <v>618</v>
      </c>
      <c r="R33" s="352">
        <f>(R31-M31)/M31</f>
        <v>1.0015034257275992</v>
      </c>
    </row>
    <row r="35" spans="1:19" ht="18.5" x14ac:dyDescent="0.35">
      <c r="A35" t="s">
        <v>598</v>
      </c>
      <c r="B35" s="119">
        <v>45803</v>
      </c>
      <c r="C35" s="653" t="s">
        <v>566</v>
      </c>
      <c r="D35" s="654"/>
      <c r="E35" s="654"/>
      <c r="F35" s="655"/>
      <c r="G35" s="2"/>
      <c r="H35" s="2"/>
      <c r="I35" s="2"/>
      <c r="J35" s="2"/>
      <c r="K35" s="2"/>
      <c r="L35" s="2"/>
      <c r="M35" s="2"/>
      <c r="N35" s="2"/>
      <c r="O35" s="2"/>
      <c r="P35" s="2"/>
      <c r="Q35" s="2"/>
      <c r="R35" s="2"/>
      <c r="S35" s="2"/>
    </row>
    <row r="37" spans="1:19" x14ac:dyDescent="0.35">
      <c r="C37" s="35" t="s">
        <v>619</v>
      </c>
      <c r="D37" s="2"/>
      <c r="E37" s="2"/>
      <c r="F37" s="2"/>
      <c r="G37" s="2"/>
      <c r="H37" s="2"/>
      <c r="I37" s="2"/>
      <c r="J37" s="2"/>
      <c r="K37" s="2"/>
      <c r="L37" s="2"/>
      <c r="M37" s="2"/>
      <c r="N37" s="2"/>
      <c r="O37" s="2"/>
      <c r="P37" s="2"/>
      <c r="Q37" s="2"/>
      <c r="R37" s="2"/>
      <c r="S37" s="2"/>
    </row>
    <row r="38" spans="1:19" x14ac:dyDescent="0.35">
      <c r="C38" s="638"/>
      <c r="D38" s="639"/>
      <c r="E38" s="19" t="s">
        <v>431</v>
      </c>
      <c r="F38" s="19" t="s">
        <v>432</v>
      </c>
      <c r="G38" s="640">
        <f>G$1</f>
        <v>2011</v>
      </c>
      <c r="H38" s="640">
        <f t="shared" ref="H38:S38" si="0">H$1</f>
        <v>2012</v>
      </c>
      <c r="I38" s="640">
        <f t="shared" si="0"/>
        <v>2013</v>
      </c>
      <c r="J38" s="640">
        <f t="shared" si="0"/>
        <v>2014</v>
      </c>
      <c r="K38" s="640">
        <f t="shared" si="0"/>
        <v>2015</v>
      </c>
      <c r="L38" s="640">
        <f t="shared" si="0"/>
        <v>2016</v>
      </c>
      <c r="M38" s="640">
        <f t="shared" si="0"/>
        <v>2017</v>
      </c>
      <c r="N38" s="640">
        <f t="shared" si="0"/>
        <v>2018</v>
      </c>
      <c r="O38" s="640">
        <f t="shared" si="0"/>
        <v>2019</v>
      </c>
      <c r="P38" s="640">
        <f t="shared" si="0"/>
        <v>2020</v>
      </c>
      <c r="Q38" s="640">
        <f t="shared" si="0"/>
        <v>2021</v>
      </c>
      <c r="R38" s="640">
        <f t="shared" si="0"/>
        <v>2022</v>
      </c>
      <c r="S38" s="640">
        <f t="shared" si="0"/>
        <v>2023</v>
      </c>
    </row>
    <row r="39" spans="1:19" x14ac:dyDescent="0.35">
      <c r="C39" s="641" t="s">
        <v>620</v>
      </c>
      <c r="D39" s="19" t="s">
        <v>621</v>
      </c>
      <c r="E39" s="642" t="s">
        <v>268</v>
      </c>
      <c r="F39" s="642" t="s">
        <v>437</v>
      </c>
      <c r="G39" s="643">
        <v>0.6857692307692308</v>
      </c>
      <c r="H39" s="643">
        <v>0.75347884615384586</v>
      </c>
      <c r="I39" s="643">
        <v>0.7186769230769231</v>
      </c>
      <c r="J39" s="643">
        <v>0.65998846153846169</v>
      </c>
      <c r="K39" s="643">
        <v>0.51179615384615385</v>
      </c>
      <c r="L39" s="643">
        <v>0.43505660377358485</v>
      </c>
      <c r="M39" s="643">
        <v>0.49874615384615384</v>
      </c>
      <c r="N39" s="643">
        <v>0.60343269230769248</v>
      </c>
      <c r="O39" s="643">
        <v>0.61943653846153857</v>
      </c>
      <c r="P39" s="643">
        <v>0.47999230769230766</v>
      </c>
      <c r="Q39" s="643">
        <v>0.59769245283018879</v>
      </c>
      <c r="R39" s="643">
        <v>1.078890384615385</v>
      </c>
      <c r="S39" s="643">
        <v>0.89772307692307673</v>
      </c>
    </row>
    <row r="40" spans="1:19" x14ac:dyDescent="0.35">
      <c r="C40" s="644" t="s">
        <v>620</v>
      </c>
      <c r="D40" s="645" t="s">
        <v>251</v>
      </c>
      <c r="E40" s="2" t="s">
        <v>268</v>
      </c>
      <c r="F40" s="26"/>
      <c r="G40" s="646">
        <f t="shared" ref="G40:S40" si="1">G41-G39</f>
        <v>0.20209999999999995</v>
      </c>
      <c r="H40" s="646">
        <f t="shared" si="1"/>
        <v>0.21536538461538501</v>
      </c>
      <c r="I40" s="646">
        <f t="shared" si="1"/>
        <v>0.20855576923076924</v>
      </c>
      <c r="J40" s="646">
        <f t="shared" si="1"/>
        <v>0.19992307692307665</v>
      </c>
      <c r="K40" s="646">
        <f t="shared" si="1"/>
        <v>0.19404615384615387</v>
      </c>
      <c r="L40" s="646">
        <f t="shared" si="1"/>
        <v>0.20257358490566041</v>
      </c>
      <c r="M40" s="646">
        <f t="shared" si="1"/>
        <v>0.24243269230769215</v>
      </c>
      <c r="N40" s="646">
        <f t="shared" si="1"/>
        <v>0.30812692307692291</v>
      </c>
      <c r="O40" s="646">
        <f t="shared" si="1"/>
        <v>0.31133269230769234</v>
      </c>
      <c r="P40" s="646">
        <f t="shared" si="1"/>
        <v>0.28344038461538451</v>
      </c>
      <c r="Q40" s="646">
        <f t="shared" si="1"/>
        <v>0.30696981132075485</v>
      </c>
      <c r="R40" s="646">
        <f t="shared" si="1"/>
        <v>0.40321730769230757</v>
      </c>
      <c r="S40" s="646">
        <f t="shared" si="1"/>
        <v>0.3669846153846158</v>
      </c>
    </row>
    <row r="41" spans="1:19" x14ac:dyDescent="0.35">
      <c r="C41" s="647" t="s">
        <v>620</v>
      </c>
      <c r="D41" s="21" t="s">
        <v>622</v>
      </c>
      <c r="E41" s="21" t="s">
        <v>268</v>
      </c>
      <c r="F41" s="27" t="s">
        <v>439</v>
      </c>
      <c r="G41" s="649">
        <v>0.88786923076923074</v>
      </c>
      <c r="H41" s="649">
        <v>0.96884423076923087</v>
      </c>
      <c r="I41" s="649">
        <v>0.92723269230769234</v>
      </c>
      <c r="J41" s="649">
        <v>0.85991153846153834</v>
      </c>
      <c r="K41" s="649">
        <v>0.70584230769230771</v>
      </c>
      <c r="L41" s="649">
        <v>0.63763018867924526</v>
      </c>
      <c r="M41" s="649">
        <v>0.74117884615384599</v>
      </c>
      <c r="N41" s="649">
        <v>0.91155961538461538</v>
      </c>
      <c r="O41" s="649">
        <v>0.9307692307692309</v>
      </c>
      <c r="P41" s="649">
        <v>0.76343269230769217</v>
      </c>
      <c r="Q41" s="649">
        <v>0.90466226415094364</v>
      </c>
      <c r="R41" s="649">
        <v>1.4821076923076926</v>
      </c>
      <c r="S41" s="649">
        <v>1.2647076923076925</v>
      </c>
    </row>
    <row r="42" spans="1:19" x14ac:dyDescent="0.35">
      <c r="C42" s="644" t="s">
        <v>623</v>
      </c>
      <c r="D42" s="2" t="s">
        <v>621</v>
      </c>
      <c r="E42" s="2" t="s">
        <v>268</v>
      </c>
      <c r="F42" s="642" t="s">
        <v>437</v>
      </c>
      <c r="G42" s="643">
        <v>0.64945192307692323</v>
      </c>
      <c r="H42" s="643">
        <v>0.72692500000000004</v>
      </c>
      <c r="I42" s="643">
        <v>0.68487307692307675</v>
      </c>
      <c r="J42" s="643">
        <v>0.61486153846153857</v>
      </c>
      <c r="K42" s="643">
        <v>0.46163076923076929</v>
      </c>
      <c r="L42" s="643">
        <v>0.38286037735849066</v>
      </c>
      <c r="M42" s="643">
        <v>0.44315961538461529</v>
      </c>
      <c r="N42" s="643">
        <v>0.54808653846153832</v>
      </c>
      <c r="O42" s="643">
        <v>0.56900576923076907</v>
      </c>
      <c r="P42" s="643">
        <v>0.42080769230769238</v>
      </c>
      <c r="Q42" s="643">
        <v>0.53750188679245281</v>
      </c>
      <c r="R42" s="643">
        <v>1.0062038461538461</v>
      </c>
      <c r="S42" s="643">
        <v>0.82611346153846132</v>
      </c>
    </row>
    <row r="43" spans="1:19" x14ac:dyDescent="0.35">
      <c r="C43" s="644" t="s">
        <v>623</v>
      </c>
      <c r="D43" s="645" t="s">
        <v>251</v>
      </c>
      <c r="E43" s="2" t="s">
        <v>268</v>
      </c>
      <c r="F43" s="26"/>
      <c r="G43" s="646">
        <f t="shared" ref="G43:S43" si="2">G44-G42</f>
        <v>0.19502307692307663</v>
      </c>
      <c r="H43" s="646">
        <f t="shared" si="2"/>
        <v>0.21017115384615381</v>
      </c>
      <c r="I43" s="646">
        <f t="shared" si="2"/>
        <v>0.20192307692307665</v>
      </c>
      <c r="J43" s="646">
        <f t="shared" si="2"/>
        <v>0.19089807692307692</v>
      </c>
      <c r="K43" s="646">
        <f t="shared" si="2"/>
        <v>0.18400384615384613</v>
      </c>
      <c r="L43" s="646">
        <f t="shared" si="2"/>
        <v>0.19213773584905647</v>
      </c>
      <c r="M43" s="646">
        <f t="shared" si="2"/>
        <v>0.23130384615384608</v>
      </c>
      <c r="N43" s="646">
        <f t="shared" si="2"/>
        <v>0.29705769230769252</v>
      </c>
      <c r="O43" s="646">
        <f t="shared" si="2"/>
        <v>0.3012442307692309</v>
      </c>
      <c r="P43" s="646">
        <f t="shared" si="2"/>
        <v>0.27159615384615371</v>
      </c>
      <c r="Q43" s="646">
        <f t="shared" si="2"/>
        <v>0.29493962264150941</v>
      </c>
      <c r="R43" s="646">
        <f t="shared" si="2"/>
        <v>0.38867884615384574</v>
      </c>
      <c r="S43" s="646">
        <f t="shared" si="2"/>
        <v>0.35266923076923096</v>
      </c>
    </row>
    <row r="44" spans="1:19" x14ac:dyDescent="0.35">
      <c r="C44" s="647" t="s">
        <v>623</v>
      </c>
      <c r="D44" s="21" t="s">
        <v>622</v>
      </c>
      <c r="E44" s="2" t="s">
        <v>268</v>
      </c>
      <c r="F44" s="27" t="s">
        <v>439</v>
      </c>
      <c r="G44" s="649">
        <v>0.84447499999999986</v>
      </c>
      <c r="H44" s="649">
        <v>0.93709615384615386</v>
      </c>
      <c r="I44" s="649">
        <v>0.8867961538461534</v>
      </c>
      <c r="J44" s="649">
        <v>0.80575961538461549</v>
      </c>
      <c r="K44" s="649">
        <v>0.64563461538461542</v>
      </c>
      <c r="L44" s="649">
        <v>0.57499811320754712</v>
      </c>
      <c r="M44" s="649">
        <v>0.67446346153846137</v>
      </c>
      <c r="N44" s="649">
        <v>0.84514423076923084</v>
      </c>
      <c r="O44" s="649">
        <v>0.87024999999999997</v>
      </c>
      <c r="P44" s="649">
        <v>0.69240384615384609</v>
      </c>
      <c r="Q44" s="649">
        <v>0.83244150943396222</v>
      </c>
      <c r="R44" s="649">
        <v>1.3948826923076918</v>
      </c>
      <c r="S44" s="649">
        <v>1.1787826923076923</v>
      </c>
    </row>
    <row r="45" spans="1:19" x14ac:dyDescent="0.35">
      <c r="C45" s="641" t="s">
        <v>624</v>
      </c>
      <c r="D45" s="19" t="s">
        <v>621</v>
      </c>
      <c r="E45" s="19" t="s">
        <v>625</v>
      </c>
      <c r="F45" s="642" t="s">
        <v>437</v>
      </c>
      <c r="G45" s="643">
        <v>504.85557692307674</v>
      </c>
      <c r="H45" s="643">
        <v>582.11057692307691</v>
      </c>
      <c r="I45" s="643">
        <v>533.4419230769231</v>
      </c>
      <c r="J45" s="643">
        <v>495.82615384615383</v>
      </c>
      <c r="K45" s="643">
        <v>327.10038461538471</v>
      </c>
      <c r="L45" s="643">
        <v>276.27377358490571</v>
      </c>
      <c r="M45" s="643">
        <v>357.80788461538475</v>
      </c>
      <c r="N45" s="643">
        <v>420.61596153846153</v>
      </c>
      <c r="O45" s="643">
        <v>432.18096153846153</v>
      </c>
      <c r="P45" s="643">
        <v>323.03230769230771</v>
      </c>
      <c r="Q45" s="643">
        <v>459.49509433962277</v>
      </c>
      <c r="R45" s="643">
        <v>649.5436538461538</v>
      </c>
      <c r="S45" s="643">
        <v>544.7600000000001</v>
      </c>
    </row>
    <row r="46" spans="1:19" x14ac:dyDescent="0.35">
      <c r="C46" s="644" t="s">
        <v>624</v>
      </c>
      <c r="D46" s="645" t="s">
        <v>251</v>
      </c>
      <c r="E46" s="2" t="s">
        <v>268</v>
      </c>
      <c r="F46" s="26"/>
      <c r="G46" s="646">
        <f t="shared" ref="G46:S46" si="3">G47-G45</f>
        <v>18.500000000000057</v>
      </c>
      <c r="H46" s="646">
        <f t="shared" si="3"/>
        <v>18.5</v>
      </c>
      <c r="I46" s="646">
        <f t="shared" si="3"/>
        <v>18.499999999999886</v>
      </c>
      <c r="J46" s="646">
        <f t="shared" si="3"/>
        <v>21.049999999999955</v>
      </c>
      <c r="K46" s="646">
        <f t="shared" si="3"/>
        <v>45.299999999999955</v>
      </c>
      <c r="L46" s="646">
        <f t="shared" si="3"/>
        <v>68.800000000000068</v>
      </c>
      <c r="M46" s="646">
        <f t="shared" si="3"/>
        <v>95.39999999999975</v>
      </c>
      <c r="N46" s="646">
        <f t="shared" si="3"/>
        <v>139.49999999999989</v>
      </c>
      <c r="O46" s="646">
        <f t="shared" si="3"/>
        <v>139.49999999999994</v>
      </c>
      <c r="P46" s="646">
        <f t="shared" si="3"/>
        <v>139.5</v>
      </c>
      <c r="Q46" s="646">
        <f t="shared" si="3"/>
        <v>139.49999999999983</v>
      </c>
      <c r="R46" s="646">
        <f t="shared" si="3"/>
        <v>139.50000000000023</v>
      </c>
      <c r="S46" s="646">
        <f t="shared" si="3"/>
        <v>139.50000000000011</v>
      </c>
    </row>
    <row r="47" spans="1:19" x14ac:dyDescent="0.35">
      <c r="C47" s="647" t="s">
        <v>624</v>
      </c>
      <c r="D47" s="21" t="s">
        <v>626</v>
      </c>
      <c r="E47" s="21" t="s">
        <v>268</v>
      </c>
      <c r="F47" s="27" t="s">
        <v>439</v>
      </c>
      <c r="G47" s="649">
        <v>523.3555769230768</v>
      </c>
      <c r="H47" s="649">
        <v>600.61057692307691</v>
      </c>
      <c r="I47" s="649">
        <v>551.94192307692299</v>
      </c>
      <c r="J47" s="649">
        <v>516.87615384615378</v>
      </c>
      <c r="K47" s="649">
        <v>372.40038461538467</v>
      </c>
      <c r="L47" s="649">
        <v>345.07377358490578</v>
      </c>
      <c r="M47" s="649">
        <v>453.2078846153845</v>
      </c>
      <c r="N47" s="649">
        <v>560.11596153846142</v>
      </c>
      <c r="O47" s="649">
        <v>571.68096153846147</v>
      </c>
      <c r="P47" s="649">
        <v>462.53230769230771</v>
      </c>
      <c r="Q47" s="649">
        <v>598.9950943396226</v>
      </c>
      <c r="R47" s="649">
        <v>789.04365384615403</v>
      </c>
      <c r="S47" s="649">
        <v>684.26000000000022</v>
      </c>
    </row>
    <row r="49" spans="1:20" x14ac:dyDescent="0.35">
      <c r="C49" s="1314" t="s">
        <v>608</v>
      </c>
      <c r="D49" s="117" t="s">
        <v>627</v>
      </c>
      <c r="E49" s="117" t="s">
        <v>628</v>
      </c>
      <c r="F49" s="2"/>
      <c r="G49" s="2"/>
      <c r="H49" s="2"/>
      <c r="I49" s="2"/>
      <c r="J49" s="2"/>
      <c r="K49" s="2"/>
    </row>
    <row r="51" spans="1:20" ht="18.5" x14ac:dyDescent="0.35">
      <c r="A51" t="s">
        <v>598</v>
      </c>
      <c r="B51" s="119">
        <v>45803</v>
      </c>
      <c r="C51" s="631" t="s">
        <v>629</v>
      </c>
      <c r="D51" s="632"/>
      <c r="E51" s="632"/>
      <c r="F51" s="633"/>
      <c r="G51" s="2"/>
      <c r="H51" s="2"/>
      <c r="I51" s="2"/>
      <c r="J51" s="2"/>
      <c r="K51" s="2"/>
      <c r="L51" s="2"/>
      <c r="M51" s="2"/>
      <c r="N51" s="2"/>
      <c r="O51" s="2"/>
      <c r="P51" s="2"/>
      <c r="Q51" s="2"/>
      <c r="R51" s="2"/>
      <c r="S51" s="2"/>
      <c r="T51" s="2"/>
    </row>
    <row r="52" spans="1:20" x14ac:dyDescent="0.35">
      <c r="A52" s="2"/>
      <c r="B52" s="2"/>
      <c r="C52" s="2"/>
      <c r="D52" s="2"/>
      <c r="E52" s="2"/>
      <c r="F52" s="2"/>
      <c r="G52" s="2"/>
      <c r="H52" s="2"/>
      <c r="I52" s="2"/>
      <c r="J52" s="2"/>
      <c r="K52" s="2"/>
      <c r="L52" s="2"/>
      <c r="M52" s="2"/>
      <c r="N52" s="2"/>
      <c r="O52" s="2"/>
      <c r="P52" s="2"/>
      <c r="Q52" s="2"/>
      <c r="R52" s="2"/>
      <c r="S52" s="2"/>
      <c r="T52" s="2"/>
    </row>
    <row r="53" spans="1:20" x14ac:dyDescent="0.35">
      <c r="A53" s="2"/>
      <c r="B53" s="2"/>
      <c r="C53" s="35" t="s">
        <v>630</v>
      </c>
      <c r="D53" s="2"/>
      <c r="E53" s="2"/>
      <c r="F53" s="2"/>
      <c r="G53" s="2"/>
      <c r="H53" s="2"/>
      <c r="I53" s="2"/>
      <c r="J53" s="2"/>
      <c r="K53" s="2"/>
      <c r="L53" s="2"/>
      <c r="M53" s="2"/>
      <c r="N53" s="2"/>
      <c r="O53" s="2"/>
      <c r="P53" s="2"/>
      <c r="Q53" s="2"/>
      <c r="R53" s="2"/>
      <c r="S53" s="2"/>
      <c r="T53" s="2"/>
    </row>
    <row r="54" spans="1:20" x14ac:dyDescent="0.35">
      <c r="A54" s="2"/>
      <c r="B54" s="2"/>
      <c r="C54" s="16"/>
      <c r="D54" s="17"/>
      <c r="E54" s="17"/>
      <c r="F54" s="17"/>
      <c r="G54" s="621">
        <v>2011</v>
      </c>
      <c r="H54" s="621">
        <v>2012</v>
      </c>
      <c r="I54" s="621">
        <v>2013</v>
      </c>
      <c r="J54" s="621">
        <v>2014</v>
      </c>
      <c r="K54" s="621">
        <v>2015</v>
      </c>
      <c r="L54" s="621">
        <v>2016</v>
      </c>
      <c r="M54" s="621">
        <v>2017</v>
      </c>
      <c r="N54" s="621">
        <v>2018</v>
      </c>
      <c r="O54" s="621">
        <v>2019</v>
      </c>
      <c r="P54" s="621">
        <v>2020</v>
      </c>
      <c r="Q54" s="621">
        <v>2021</v>
      </c>
      <c r="R54" s="621">
        <v>2022</v>
      </c>
      <c r="S54" s="621">
        <v>2023</v>
      </c>
      <c r="T54" s="621">
        <v>2024</v>
      </c>
    </row>
    <row r="55" spans="1:20" x14ac:dyDescent="0.35">
      <c r="A55" s="2"/>
      <c r="B55" s="2"/>
      <c r="C55" s="36" t="s">
        <v>631</v>
      </c>
      <c r="D55" s="19"/>
      <c r="E55" s="622" t="s">
        <v>625</v>
      </c>
      <c r="F55" s="24"/>
      <c r="G55" s="623"/>
      <c r="H55" s="623"/>
      <c r="I55" s="623"/>
      <c r="J55" s="623">
        <v>58.4</v>
      </c>
      <c r="K55" s="623">
        <v>56.1</v>
      </c>
      <c r="L55" s="623">
        <v>56.1</v>
      </c>
      <c r="M55" s="623">
        <v>57</v>
      </c>
      <c r="N55" s="623">
        <v>60.4</v>
      </c>
      <c r="O55" s="623">
        <v>57.3</v>
      </c>
      <c r="P55" s="623">
        <v>0</v>
      </c>
      <c r="Q55" s="623">
        <v>0</v>
      </c>
      <c r="R55" s="623">
        <v>0</v>
      </c>
      <c r="S55" s="623">
        <v>0</v>
      </c>
      <c r="T55" s="623">
        <v>0</v>
      </c>
    </row>
    <row r="56" spans="1:20" x14ac:dyDescent="0.35">
      <c r="A56" s="2"/>
      <c r="B56" s="2"/>
      <c r="C56" s="249" t="s">
        <v>632</v>
      </c>
      <c r="D56" s="2"/>
      <c r="E56" s="624" t="s">
        <v>268</v>
      </c>
      <c r="F56" s="26"/>
      <c r="G56" s="625"/>
      <c r="H56" s="625"/>
      <c r="I56" s="625"/>
      <c r="J56" s="625">
        <v>14.3</v>
      </c>
      <c r="K56" s="625">
        <v>12.2</v>
      </c>
      <c r="L56" s="625">
        <v>11.6</v>
      </c>
      <c r="M56" s="625">
        <v>12.1</v>
      </c>
      <c r="N56" s="625">
        <v>12.7</v>
      </c>
      <c r="O56" s="625">
        <v>12.7</v>
      </c>
      <c r="P56" s="625">
        <v>0</v>
      </c>
      <c r="Q56" s="625">
        <v>0</v>
      </c>
      <c r="R56" s="625">
        <v>0</v>
      </c>
      <c r="S56" s="625">
        <v>0</v>
      </c>
      <c r="T56" s="625">
        <v>0</v>
      </c>
    </row>
    <row r="57" spans="1:20" x14ac:dyDescent="0.35">
      <c r="A57" s="2"/>
      <c r="B57" s="2"/>
      <c r="C57" s="249" t="s">
        <v>614</v>
      </c>
      <c r="D57" s="2"/>
      <c r="E57" s="624" t="s">
        <v>268</v>
      </c>
      <c r="F57" s="26"/>
      <c r="G57" s="625"/>
      <c r="H57" s="625"/>
      <c r="I57" s="625"/>
      <c r="J57" s="625">
        <v>8.7999999999999972</v>
      </c>
      <c r="K57" s="625">
        <v>8.0499999999999972</v>
      </c>
      <c r="L57" s="625">
        <v>6.7999999999999972</v>
      </c>
      <c r="M57" s="625">
        <v>6.9000000000000057</v>
      </c>
      <c r="N57" s="625">
        <v>7.3000000000000114</v>
      </c>
      <c r="O57" s="625">
        <v>7</v>
      </c>
      <c r="P57" s="625">
        <v>0</v>
      </c>
      <c r="Q57" s="625">
        <v>0</v>
      </c>
      <c r="R57" s="625">
        <v>0</v>
      </c>
      <c r="S57" s="625">
        <v>0</v>
      </c>
      <c r="T57" s="625">
        <v>0</v>
      </c>
    </row>
    <row r="58" spans="1:20" x14ac:dyDescent="0.35">
      <c r="A58" s="2"/>
      <c r="B58" s="2"/>
      <c r="C58" s="77" t="s">
        <v>320</v>
      </c>
      <c r="D58" s="17"/>
      <c r="E58" s="78" t="s">
        <v>268</v>
      </c>
      <c r="F58" s="23"/>
      <c r="G58" s="627"/>
      <c r="H58" s="627"/>
      <c r="I58" s="627"/>
      <c r="J58" s="627">
        <v>81.5</v>
      </c>
      <c r="K58" s="627">
        <v>76.349999999999994</v>
      </c>
      <c r="L58" s="627">
        <v>74.5</v>
      </c>
      <c r="M58" s="627">
        <v>76</v>
      </c>
      <c r="N58" s="627">
        <v>80.400000000000006</v>
      </c>
      <c r="O58" s="627">
        <v>77</v>
      </c>
      <c r="P58" s="627">
        <v>0</v>
      </c>
      <c r="Q58" s="627">
        <v>0</v>
      </c>
      <c r="R58" s="627">
        <v>0</v>
      </c>
      <c r="S58" s="627">
        <v>0</v>
      </c>
      <c r="T58" s="627">
        <v>0</v>
      </c>
    </row>
    <row r="60" spans="1:20" x14ac:dyDescent="0.35">
      <c r="C60" s="1314" t="s">
        <v>608</v>
      </c>
      <c r="D60" s="2" t="s">
        <v>633</v>
      </c>
      <c r="E60" t="s">
        <v>634</v>
      </c>
      <c r="F60" s="178"/>
      <c r="G60" s="178"/>
      <c r="H60" s="178"/>
      <c r="I60" s="178"/>
      <c r="J60" s="178"/>
      <c r="K60" s="178"/>
      <c r="L60" s="178"/>
      <c r="M60" s="178"/>
    </row>
    <row r="61" spans="1:20" x14ac:dyDescent="0.35">
      <c r="C61" s="1314" t="s">
        <v>608</v>
      </c>
      <c r="D61" s="2" t="s">
        <v>635</v>
      </c>
      <c r="E61" t="s">
        <v>636</v>
      </c>
      <c r="F61" s="178"/>
      <c r="G61" s="178"/>
      <c r="H61" s="178"/>
      <c r="I61" s="178"/>
      <c r="J61" s="178"/>
      <c r="K61" s="178"/>
      <c r="L61" s="178"/>
      <c r="M61" s="2"/>
    </row>
    <row r="62" spans="1:20" x14ac:dyDescent="0.35">
      <c r="C62" s="1314" t="s">
        <v>608</v>
      </c>
      <c r="D62" s="2" t="s">
        <v>637</v>
      </c>
      <c r="E62" t="s">
        <v>638</v>
      </c>
      <c r="F62" s="178"/>
      <c r="G62" s="178"/>
      <c r="H62" s="178"/>
      <c r="I62" s="178"/>
      <c r="J62" s="178"/>
      <c r="K62" s="178"/>
      <c r="L62" s="178"/>
      <c r="M62" s="2"/>
    </row>
    <row r="63" spans="1:20" x14ac:dyDescent="0.35">
      <c r="C63" s="1314" t="s">
        <v>608</v>
      </c>
      <c r="D63" s="2" t="s">
        <v>639</v>
      </c>
      <c r="E63" t="s">
        <v>638</v>
      </c>
      <c r="F63" s="178"/>
      <c r="G63" s="178"/>
      <c r="H63" s="178"/>
      <c r="I63" s="178"/>
      <c r="J63" s="178"/>
      <c r="K63" s="178"/>
      <c r="L63" s="178"/>
      <c r="M63" s="2"/>
    </row>
    <row r="64" spans="1:20" x14ac:dyDescent="0.35">
      <c r="C64" s="1314" t="s">
        <v>608</v>
      </c>
      <c r="D64" s="2" t="s">
        <v>640</v>
      </c>
      <c r="E64" t="s">
        <v>641</v>
      </c>
      <c r="F64" s="178"/>
      <c r="G64" s="178"/>
      <c r="H64" s="178"/>
      <c r="I64" s="178"/>
      <c r="J64" s="178"/>
      <c r="K64" s="178"/>
      <c r="L64" s="178"/>
      <c r="M64" s="2"/>
    </row>
    <row r="65" spans="1:19" ht="15.65" customHeight="1" x14ac:dyDescent="0.35"/>
    <row r="67" spans="1:19" ht="18.5" x14ac:dyDescent="0.35">
      <c r="A67" t="s">
        <v>598</v>
      </c>
      <c r="B67" s="119">
        <v>45803</v>
      </c>
      <c r="C67" s="628" t="s">
        <v>550</v>
      </c>
      <c r="D67" s="629"/>
      <c r="E67" s="629"/>
      <c r="F67" s="630"/>
    </row>
    <row r="69" spans="1:19" x14ac:dyDescent="0.35">
      <c r="C69" s="35" t="s">
        <v>619</v>
      </c>
      <c r="D69" s="2"/>
      <c r="E69" s="2"/>
      <c r="F69" s="2"/>
      <c r="G69" s="2"/>
      <c r="H69" s="2"/>
      <c r="I69" s="2"/>
      <c r="J69" s="2"/>
      <c r="K69" s="2"/>
      <c r="L69" s="2"/>
      <c r="M69" s="2"/>
      <c r="N69" s="2"/>
      <c r="O69" s="2"/>
      <c r="P69" s="2"/>
      <c r="Q69" s="2"/>
      <c r="R69" s="2"/>
      <c r="S69" s="2"/>
    </row>
    <row r="70" spans="1:19" x14ac:dyDescent="0.35">
      <c r="C70" s="638"/>
      <c r="D70" s="639"/>
      <c r="E70" s="19" t="s">
        <v>431</v>
      </c>
      <c r="F70" s="19" t="s">
        <v>432</v>
      </c>
      <c r="G70" s="640">
        <v>2011</v>
      </c>
      <c r="H70" s="640">
        <v>2012</v>
      </c>
      <c r="I70" s="640">
        <v>2013</v>
      </c>
      <c r="J70" s="640">
        <v>2014</v>
      </c>
      <c r="K70" s="640">
        <v>2015</v>
      </c>
      <c r="L70" s="640">
        <v>2016</v>
      </c>
      <c r="M70" s="640">
        <v>2017</v>
      </c>
      <c r="N70" s="640">
        <v>2018</v>
      </c>
      <c r="O70" s="640">
        <v>2019</v>
      </c>
      <c r="P70" s="640">
        <v>2020</v>
      </c>
      <c r="Q70" s="640">
        <v>2021</v>
      </c>
      <c r="R70" s="640">
        <v>2022</v>
      </c>
      <c r="S70" s="640">
        <v>2023</v>
      </c>
    </row>
    <row r="71" spans="1:19" x14ac:dyDescent="0.35">
      <c r="C71" s="647" t="s">
        <v>582</v>
      </c>
      <c r="D71" s="648" t="s">
        <v>622</v>
      </c>
      <c r="E71" s="648" t="s">
        <v>268</v>
      </c>
      <c r="F71" s="648" t="s">
        <v>439</v>
      </c>
      <c r="G71" s="649">
        <v>1.3354423076923079</v>
      </c>
      <c r="H71" s="649">
        <v>1.395775</v>
      </c>
      <c r="I71" s="649">
        <v>1.3501807692307692</v>
      </c>
      <c r="J71" s="649">
        <v>1.2856192307692309</v>
      </c>
      <c r="K71" s="649">
        <v>1.1493730769230768</v>
      </c>
      <c r="L71" s="649">
        <v>1.1054981132075477</v>
      </c>
      <c r="M71" s="649">
        <v>1.2325326923076925</v>
      </c>
      <c r="N71" s="649">
        <v>1.4371865384615385</v>
      </c>
      <c r="O71" s="649">
        <v>1.4404615384615385</v>
      </c>
      <c r="P71" s="649">
        <v>1.2598865384615385</v>
      </c>
      <c r="Q71" s="649">
        <v>1.4301169811320755</v>
      </c>
      <c r="R71" s="649">
        <v>1.8502229166666666</v>
      </c>
      <c r="S71" s="649">
        <v>1.7947769230769224</v>
      </c>
    </row>
    <row r="72" spans="1:19" x14ac:dyDescent="0.35">
      <c r="C72" s="647" t="s">
        <v>642</v>
      </c>
      <c r="D72" s="648" t="s">
        <v>622</v>
      </c>
      <c r="E72" s="648" t="s">
        <v>268</v>
      </c>
      <c r="F72" s="648" t="s">
        <v>439</v>
      </c>
      <c r="G72" s="649">
        <v>1.4995346153846152</v>
      </c>
      <c r="H72" s="649">
        <v>1.5657750000000008</v>
      </c>
      <c r="I72" s="649">
        <v>1.5367346153846151</v>
      </c>
      <c r="J72" s="649">
        <v>1.484582692307693</v>
      </c>
      <c r="K72" s="649">
        <v>1.3531096153846158</v>
      </c>
      <c r="L72" s="649">
        <v>1.303935849056604</v>
      </c>
      <c r="M72" s="649">
        <v>1.3766596153846153</v>
      </c>
      <c r="N72" s="649">
        <v>1.5047999999999997</v>
      </c>
      <c r="O72" s="649">
        <v>1.5068519230769237</v>
      </c>
      <c r="P72" s="649">
        <v>1.3550615384615385</v>
      </c>
      <c r="Q72" s="649">
        <v>1.5513811320754718</v>
      </c>
      <c r="R72" s="649">
        <v>1.8135870833333332</v>
      </c>
      <c r="S72" s="649">
        <v>1.8831942307692309</v>
      </c>
    </row>
    <row r="73" spans="1:19" x14ac:dyDescent="0.35">
      <c r="C73" s="644" t="s">
        <v>643</v>
      </c>
      <c r="D73" s="645" t="s">
        <v>622</v>
      </c>
      <c r="E73" s="648" t="s">
        <v>268</v>
      </c>
      <c r="F73" s="648" t="s">
        <v>439</v>
      </c>
      <c r="G73" s="646"/>
      <c r="H73" s="646"/>
      <c r="I73" s="649">
        <v>1.5109961538461538</v>
      </c>
      <c r="J73" s="649">
        <v>1.4758634615384616</v>
      </c>
      <c r="K73" s="649">
        <v>1.3455923076923073</v>
      </c>
      <c r="L73" s="649">
        <v>1.2813641509433962</v>
      </c>
      <c r="M73" s="649">
        <v>1.3543192307692304</v>
      </c>
      <c r="N73" s="649">
        <v>1.482503846153846</v>
      </c>
      <c r="O73" s="649">
        <v>1.4831807692307695</v>
      </c>
      <c r="P73" s="649">
        <v>1.3385519230769232</v>
      </c>
      <c r="Q73" s="649">
        <v>1.5280943396226416</v>
      </c>
      <c r="R73" s="649">
        <v>1.7700491666666667</v>
      </c>
      <c r="S73" s="649">
        <v>1.857592307692308</v>
      </c>
    </row>
    <row r="74" spans="1:19" x14ac:dyDescent="0.35">
      <c r="C74" s="647" t="s">
        <v>644</v>
      </c>
      <c r="D74" s="648" t="s">
        <v>622</v>
      </c>
      <c r="E74" s="648" t="s">
        <v>268</v>
      </c>
      <c r="F74" s="648" t="s">
        <v>439</v>
      </c>
      <c r="G74" s="649">
        <v>1.5374288461538457</v>
      </c>
      <c r="H74" s="649">
        <v>1.618167307692308</v>
      </c>
      <c r="I74" s="649">
        <v>1.5942769230769234</v>
      </c>
      <c r="J74" s="649">
        <v>1.5448038461538458</v>
      </c>
      <c r="K74" s="649">
        <v>1.4149634615384614</v>
      </c>
      <c r="L74" s="649">
        <v>1.3624056603773584</v>
      </c>
      <c r="M74" s="649">
        <v>1.4430365384615387</v>
      </c>
      <c r="N74" s="649">
        <v>1.571490384615384</v>
      </c>
      <c r="O74" s="649">
        <v>1.5692942307692308</v>
      </c>
      <c r="P74" s="649">
        <v>1.4187903846153849</v>
      </c>
      <c r="Q74" s="649">
        <v>1.6122830188679249</v>
      </c>
      <c r="R74" s="649">
        <v>1.8678237499999997</v>
      </c>
      <c r="S74" s="649">
        <v>1.9388557692307695</v>
      </c>
    </row>
    <row r="75" spans="1:19" x14ac:dyDescent="0.35">
      <c r="C75" s="650" t="s">
        <v>645</v>
      </c>
      <c r="D75" s="63"/>
      <c r="E75" s="63"/>
      <c r="F75" s="64"/>
      <c r="G75" s="65">
        <f t="shared" ref="G75:S75" si="4">(G74+G72)/2</f>
        <v>1.5184817307692304</v>
      </c>
      <c r="H75" s="63">
        <f t="shared" si="4"/>
        <v>1.5919711538461545</v>
      </c>
      <c r="I75" s="63">
        <f t="shared" si="4"/>
        <v>1.5655057692307692</v>
      </c>
      <c r="J75" s="63">
        <f t="shared" si="4"/>
        <v>1.5146932692307695</v>
      </c>
      <c r="K75" s="63">
        <f t="shared" si="4"/>
        <v>1.3840365384615385</v>
      </c>
      <c r="L75" s="63">
        <f t="shared" si="4"/>
        <v>1.3331707547169813</v>
      </c>
      <c r="M75" s="63">
        <f t="shared" si="4"/>
        <v>1.409848076923077</v>
      </c>
      <c r="N75" s="63">
        <f t="shared" si="4"/>
        <v>1.5381451923076919</v>
      </c>
      <c r="O75" s="63">
        <f t="shared" si="4"/>
        <v>1.5380730769230773</v>
      </c>
      <c r="P75" s="63">
        <f t="shared" si="4"/>
        <v>1.3869259615384617</v>
      </c>
      <c r="Q75" s="63">
        <f t="shared" si="4"/>
        <v>1.5818320754716984</v>
      </c>
      <c r="R75" s="63">
        <f t="shared" si="4"/>
        <v>1.8407054166666663</v>
      </c>
      <c r="S75" s="64">
        <f t="shared" si="4"/>
        <v>1.9110250000000002</v>
      </c>
    </row>
    <row r="76" spans="1:19" x14ac:dyDescent="0.35">
      <c r="C76" s="647" t="s">
        <v>646</v>
      </c>
      <c r="D76" s="648" t="s">
        <v>622</v>
      </c>
      <c r="E76" s="648" t="s">
        <v>268</v>
      </c>
      <c r="F76" s="648" t="s">
        <v>439</v>
      </c>
      <c r="G76" s="649">
        <v>0.85400192307692313</v>
      </c>
      <c r="H76" s="649">
        <v>0.88225000000000009</v>
      </c>
      <c r="I76" s="649">
        <v>0.87311730769230733</v>
      </c>
      <c r="J76" s="649">
        <v>0.85647307692307706</v>
      </c>
      <c r="K76" s="649">
        <v>0.78665961538461526</v>
      </c>
      <c r="L76" s="649">
        <v>0.70924716981132052</v>
      </c>
      <c r="M76" s="649">
        <v>0.74217307692307655</v>
      </c>
      <c r="N76" s="649">
        <v>0.82106730769230762</v>
      </c>
      <c r="O76" s="649">
        <v>0.85634807692307702</v>
      </c>
      <c r="P76" s="649">
        <v>0.84485769230769203</v>
      </c>
      <c r="Q76" s="649">
        <v>0.85340754716981093</v>
      </c>
      <c r="R76" s="649">
        <v>0.84581958333333329</v>
      </c>
      <c r="S76" s="649">
        <v>0.9802057692307693</v>
      </c>
    </row>
    <row r="78" spans="1:19" x14ac:dyDescent="0.35">
      <c r="C78" s="1314" t="s">
        <v>608</v>
      </c>
      <c r="D78" s="117" t="s">
        <v>627</v>
      </c>
      <c r="E78" s="117" t="s">
        <v>647</v>
      </c>
    </row>
    <row r="80" spans="1:19" ht="18.5" x14ac:dyDescent="0.35">
      <c r="A80" t="s">
        <v>598</v>
      </c>
      <c r="B80" s="119">
        <v>45803</v>
      </c>
      <c r="C80" s="661" t="s">
        <v>648</v>
      </c>
      <c r="D80" s="662"/>
      <c r="E80" s="662"/>
      <c r="F80" s="663"/>
    </row>
    <row r="82" spans="1:20" x14ac:dyDescent="0.35">
      <c r="C82" s="35" t="s">
        <v>649</v>
      </c>
      <c r="D82" s="2"/>
      <c r="E82" s="2"/>
      <c r="F82" s="2"/>
    </row>
    <row r="83" spans="1:20" x14ac:dyDescent="0.35">
      <c r="C83" s="659"/>
      <c r="D83" s="660"/>
      <c r="E83" s="19" t="s">
        <v>431</v>
      </c>
      <c r="F83" s="19" t="s">
        <v>432</v>
      </c>
      <c r="G83" s="640">
        <f>G$1</f>
        <v>2011</v>
      </c>
      <c r="H83" s="640">
        <f t="shared" ref="H83:Q83" si="5">H$1</f>
        <v>2012</v>
      </c>
      <c r="I83" s="640">
        <f t="shared" si="5"/>
        <v>2013</v>
      </c>
      <c r="J83" s="640">
        <f t="shared" si="5"/>
        <v>2014</v>
      </c>
      <c r="K83" s="640">
        <f t="shared" si="5"/>
        <v>2015</v>
      </c>
      <c r="L83" s="640">
        <f t="shared" si="5"/>
        <v>2016</v>
      </c>
      <c r="M83" s="640">
        <f t="shared" si="5"/>
        <v>2017</v>
      </c>
      <c r="N83" s="640">
        <f t="shared" si="5"/>
        <v>2018</v>
      </c>
      <c r="O83" s="640">
        <f t="shared" si="5"/>
        <v>2019</v>
      </c>
      <c r="P83" s="640">
        <f t="shared" si="5"/>
        <v>2020</v>
      </c>
      <c r="Q83" s="640">
        <f t="shared" si="5"/>
        <v>2021</v>
      </c>
    </row>
    <row r="84" spans="1:20" x14ac:dyDescent="0.35">
      <c r="C84" s="641" t="s">
        <v>650</v>
      </c>
      <c r="D84" s="642"/>
      <c r="E84" s="19" t="s">
        <v>651</v>
      </c>
      <c r="F84" s="24" t="s">
        <v>437</v>
      </c>
      <c r="G84" s="664">
        <v>31.663613233272599</v>
      </c>
      <c r="H84" s="664">
        <v>34.574898657372501</v>
      </c>
      <c r="I84" s="664">
        <v>33.9785112017505</v>
      </c>
      <c r="J84" s="664">
        <v>32.282112902812599</v>
      </c>
      <c r="K84" s="664">
        <v>28.997088965541099</v>
      </c>
      <c r="L84" s="664">
        <v>25.7817124511716</v>
      </c>
      <c r="M84" s="664">
        <v>26.3844399858915</v>
      </c>
      <c r="N84" s="664">
        <v>29.636945499747899</v>
      </c>
      <c r="O84" s="664">
        <v>26.243111777508201</v>
      </c>
      <c r="P84" s="664">
        <v>23.6004052911331</v>
      </c>
      <c r="Q84" s="664">
        <v>40.271782316504598</v>
      </c>
    </row>
    <row r="85" spans="1:20" x14ac:dyDescent="0.35">
      <c r="C85" s="647" t="s">
        <v>652</v>
      </c>
      <c r="D85" s="648"/>
      <c r="E85" s="21" t="s">
        <v>653</v>
      </c>
      <c r="F85" s="21" t="s">
        <v>268</v>
      </c>
      <c r="G85" s="665">
        <v>71.645200619999997</v>
      </c>
      <c r="H85" s="665">
        <v>77.877525582235293</v>
      </c>
      <c r="I85" s="665">
        <v>78.870164317537998</v>
      </c>
      <c r="J85" s="665">
        <v>78.624418165233294</v>
      </c>
      <c r="K85" s="665">
        <v>76.9257534125354</v>
      </c>
      <c r="L85" s="665">
        <v>77.287055357331298</v>
      </c>
      <c r="M85" s="665">
        <v>79.496645235275693</v>
      </c>
      <c r="N85" s="665">
        <v>85.240148883000003</v>
      </c>
      <c r="O85" s="665">
        <v>85.245295832099998</v>
      </c>
      <c r="P85" s="665">
        <v>81.631909608799987</v>
      </c>
      <c r="Q85" s="665">
        <v>89.211629379279998</v>
      </c>
    </row>
    <row r="87" spans="1:20" x14ac:dyDescent="0.35">
      <c r="C87" s="117" t="s">
        <v>654</v>
      </c>
      <c r="D87" s="117" t="s">
        <v>655</v>
      </c>
      <c r="E87" s="117"/>
    </row>
    <row r="88" spans="1:20" x14ac:dyDescent="0.35">
      <c r="D88" s="1315" t="s">
        <v>656</v>
      </c>
    </row>
    <row r="89" spans="1:20" x14ac:dyDescent="0.35">
      <c r="D89" s="1315"/>
    </row>
    <row r="90" spans="1:20" ht="18.5" x14ac:dyDescent="0.35">
      <c r="A90" t="s">
        <v>598</v>
      </c>
      <c r="B90" s="119">
        <v>45803</v>
      </c>
      <c r="C90" s="634" t="s">
        <v>657</v>
      </c>
      <c r="D90" s="635"/>
      <c r="E90" s="635"/>
      <c r="F90" s="636"/>
      <c r="G90" s="2"/>
      <c r="H90" s="2"/>
      <c r="I90" s="2"/>
      <c r="J90" s="2"/>
      <c r="K90" s="2"/>
      <c r="L90" s="2"/>
      <c r="M90" s="2"/>
      <c r="N90" s="2"/>
      <c r="O90" s="2"/>
      <c r="P90" s="2"/>
      <c r="Q90" s="2"/>
      <c r="R90" s="2"/>
      <c r="S90" s="2"/>
      <c r="T90" s="2"/>
    </row>
    <row r="91" spans="1:20" x14ac:dyDescent="0.35">
      <c r="A91" s="2"/>
      <c r="C91" s="2"/>
      <c r="D91" s="2"/>
      <c r="E91" s="2"/>
      <c r="F91" s="2"/>
      <c r="G91" s="528"/>
      <c r="H91" s="528"/>
      <c r="I91" s="528"/>
      <c r="J91" s="528"/>
      <c r="K91" s="528"/>
      <c r="L91" s="528"/>
      <c r="M91" s="528"/>
      <c r="N91" s="2"/>
      <c r="O91" s="2"/>
      <c r="P91" s="2"/>
      <c r="Q91" s="2"/>
      <c r="R91" s="2"/>
      <c r="S91" s="2"/>
      <c r="T91" s="2"/>
    </row>
    <row r="92" spans="1:20" x14ac:dyDescent="0.35">
      <c r="A92" s="2"/>
      <c r="C92" s="35" t="s">
        <v>658</v>
      </c>
      <c r="D92" s="2"/>
      <c r="E92" s="2"/>
      <c r="F92" s="2"/>
      <c r="G92" s="528"/>
      <c r="H92" s="528"/>
      <c r="I92" s="528"/>
      <c r="J92" s="528"/>
      <c r="K92" s="528"/>
      <c r="L92" s="528"/>
      <c r="M92" s="528"/>
      <c r="N92" s="2"/>
      <c r="O92" s="2"/>
      <c r="P92" s="2"/>
      <c r="Q92" s="2"/>
      <c r="R92" s="2"/>
      <c r="S92" s="2"/>
      <c r="T92" s="2"/>
    </row>
    <row r="93" spans="1:20" x14ac:dyDescent="0.35">
      <c r="A93" s="2"/>
      <c r="C93" s="16"/>
      <c r="D93" s="17"/>
      <c r="E93" s="17"/>
      <c r="F93" s="17"/>
      <c r="G93" s="621">
        <v>2011</v>
      </c>
      <c r="H93" s="621">
        <v>2012</v>
      </c>
      <c r="I93" s="621">
        <v>2013</v>
      </c>
      <c r="J93" s="621">
        <v>2014</v>
      </c>
      <c r="K93" s="621">
        <v>2015</v>
      </c>
      <c r="L93" s="621">
        <v>2016</v>
      </c>
      <c r="M93" s="621">
        <v>2017</v>
      </c>
      <c r="N93" s="621">
        <v>2018</v>
      </c>
      <c r="O93" s="621">
        <v>2019</v>
      </c>
      <c r="P93" s="621">
        <v>2020</v>
      </c>
      <c r="Q93" s="621">
        <v>2021</v>
      </c>
      <c r="R93" s="621">
        <v>2022</v>
      </c>
      <c r="S93" s="621">
        <v>2023</v>
      </c>
      <c r="T93" s="621">
        <v>2024</v>
      </c>
    </row>
    <row r="94" spans="1:20" x14ac:dyDescent="0.35">
      <c r="A94" s="2"/>
      <c r="C94" s="249" t="s">
        <v>600</v>
      </c>
      <c r="D94" s="2"/>
      <c r="E94" s="624" t="s">
        <v>659</v>
      </c>
      <c r="F94" s="26"/>
      <c r="G94" s="246">
        <v>100</v>
      </c>
      <c r="H94" s="246">
        <v>103.20021881838073</v>
      </c>
      <c r="I94" s="246">
        <v>110.53063457330417</v>
      </c>
      <c r="J94" s="246">
        <v>116.19256017505469</v>
      </c>
      <c r="K94" s="246">
        <v>120.35010940919038</v>
      </c>
      <c r="L94" s="246">
        <v>113.56673960612693</v>
      </c>
      <c r="M94" s="246">
        <v>117.75164113785559</v>
      </c>
      <c r="N94" s="246">
        <v>118.68161925601751</v>
      </c>
      <c r="O94" s="246">
        <v>127.7352297592998</v>
      </c>
      <c r="P94" s="246">
        <v>128.61050328227574</v>
      </c>
      <c r="Q94" s="246">
        <v>132.00218818380745</v>
      </c>
      <c r="R94" s="246">
        <v>152.48905908096282</v>
      </c>
      <c r="S94" s="246">
        <v>292.61487964989067</v>
      </c>
      <c r="T94" s="246">
        <v>0</v>
      </c>
    </row>
    <row r="95" spans="1:20" x14ac:dyDescent="0.35">
      <c r="A95" s="2"/>
      <c r="C95" s="66" t="s">
        <v>228</v>
      </c>
      <c r="D95" s="21"/>
      <c r="E95" s="637" t="s">
        <v>268</v>
      </c>
      <c r="F95" s="27"/>
      <c r="G95" s="247">
        <v>100</v>
      </c>
      <c r="H95" s="247">
        <v>106.88524590163935</v>
      </c>
      <c r="I95" s="247">
        <v>106.8032786885246</v>
      </c>
      <c r="J95" s="247">
        <v>102.5</v>
      </c>
      <c r="K95" s="247">
        <v>98.852459016393453</v>
      </c>
      <c r="L95" s="247">
        <v>93.442622950819668</v>
      </c>
      <c r="M95" s="247">
        <v>90.503688524590174</v>
      </c>
      <c r="N95" s="247">
        <v>99.082786885245909</v>
      </c>
      <c r="O95" s="247">
        <v>99.58442622950821</v>
      </c>
      <c r="P95" s="247">
        <v>92.025819672131149</v>
      </c>
      <c r="Q95" s="247">
        <v>113.21803278688523</v>
      </c>
      <c r="R95" s="247">
        <v>181.14344262295083</v>
      </c>
      <c r="S95" s="247">
        <v>219.0344262295082</v>
      </c>
      <c r="T95" s="247">
        <v>0</v>
      </c>
    </row>
    <row r="97" spans="1:20" ht="18.5" x14ac:dyDescent="0.35">
      <c r="A97" t="s">
        <v>598</v>
      </c>
      <c r="B97" s="119">
        <v>45803</v>
      </c>
      <c r="C97" s="634" t="s">
        <v>660</v>
      </c>
      <c r="D97" s="635"/>
      <c r="E97" s="635"/>
      <c r="F97" s="636"/>
    </row>
    <row r="99" spans="1:20" x14ac:dyDescent="0.35">
      <c r="C99" s="15" t="s">
        <v>661</v>
      </c>
    </row>
    <row r="101" spans="1:20" x14ac:dyDescent="0.35">
      <c r="C101" s="602" t="s">
        <v>475</v>
      </c>
      <c r="D101" s="603"/>
      <c r="E101" s="564"/>
      <c r="F101" s="565"/>
      <c r="G101" s="418">
        <v>2011</v>
      </c>
      <c r="H101" s="419">
        <v>2012</v>
      </c>
      <c r="I101" s="419">
        <v>2013</v>
      </c>
      <c r="J101" s="419">
        <v>2014</v>
      </c>
      <c r="K101" s="419">
        <v>2015</v>
      </c>
      <c r="L101" s="419">
        <v>2016</v>
      </c>
      <c r="M101" s="419">
        <v>2017</v>
      </c>
      <c r="N101" s="419">
        <v>2018</v>
      </c>
      <c r="O101" s="419">
        <v>2019</v>
      </c>
      <c r="P101" s="419">
        <v>2020</v>
      </c>
      <c r="Q101" s="419">
        <v>2021</v>
      </c>
      <c r="R101" s="419">
        <v>2022</v>
      </c>
      <c r="S101" s="420">
        <v>2023</v>
      </c>
    </row>
    <row r="102" spans="1:20" x14ac:dyDescent="0.35">
      <c r="C102" s="561" t="s">
        <v>476</v>
      </c>
      <c r="D102" s="555"/>
      <c r="E102" s="555"/>
      <c r="F102" s="606"/>
      <c r="G102" s="593"/>
      <c r="H102" s="594"/>
      <c r="I102" s="594"/>
      <c r="J102" s="594"/>
      <c r="K102" s="594"/>
      <c r="L102" s="594"/>
      <c r="M102" s="594"/>
      <c r="N102" s="594"/>
      <c r="O102" s="594"/>
      <c r="P102" s="594"/>
      <c r="Q102" s="594"/>
      <c r="R102" s="594"/>
      <c r="S102" s="595"/>
      <c r="T102" s="551"/>
    </row>
    <row r="103" spans="1:20" x14ac:dyDescent="0.35">
      <c r="C103" s="587" t="s">
        <v>480</v>
      </c>
      <c r="D103" s="588"/>
      <c r="E103" s="104"/>
      <c r="F103" s="239"/>
      <c r="G103" s="596">
        <v>1993084221.1357429</v>
      </c>
      <c r="H103" s="382">
        <v>2118943540.4231708</v>
      </c>
      <c r="I103" s="382">
        <v>2316888461.2595215</v>
      </c>
      <c r="J103" s="382">
        <v>2148216613.4823346</v>
      </c>
      <c r="K103" s="382">
        <v>2157604967.2781758</v>
      </c>
      <c r="L103" s="382">
        <v>2004741866.7567046</v>
      </c>
      <c r="M103" s="382">
        <v>2036171756.8387885</v>
      </c>
      <c r="N103" s="382">
        <v>2090338042.0249054</v>
      </c>
      <c r="O103" s="382">
        <v>2103812575.2618454</v>
      </c>
      <c r="P103" s="382">
        <v>1988304820.198678</v>
      </c>
      <c r="Q103" s="382">
        <v>2078326004.5824971</v>
      </c>
      <c r="R103" s="382">
        <v>2619465705.1203737</v>
      </c>
      <c r="S103" s="501">
        <v>3231367573.947998</v>
      </c>
      <c r="T103" s="552"/>
    </row>
    <row r="104" spans="1:20" x14ac:dyDescent="0.35">
      <c r="C104" s="237" t="s">
        <v>564</v>
      </c>
      <c r="D104" s="588"/>
      <c r="E104" s="104"/>
      <c r="F104" s="239"/>
      <c r="G104" s="597">
        <v>1136058006.0473733</v>
      </c>
      <c r="H104" s="375">
        <v>1207797818.0412073</v>
      </c>
      <c r="I104" s="375">
        <v>1320626422.917927</v>
      </c>
      <c r="J104" s="375">
        <v>1224483469.6849306</v>
      </c>
      <c r="K104" s="375">
        <v>1229834831.3485601</v>
      </c>
      <c r="L104" s="375">
        <v>1142702864.0513215</v>
      </c>
      <c r="M104" s="375">
        <v>1160617901.3981094</v>
      </c>
      <c r="N104" s="375">
        <v>1191492683.954196</v>
      </c>
      <c r="O104" s="375">
        <v>1199173167.8992517</v>
      </c>
      <c r="P104" s="375">
        <v>1133333747.5132463</v>
      </c>
      <c r="Q104" s="375">
        <v>1184645822.6120234</v>
      </c>
      <c r="R104" s="375">
        <v>1493095451.918613</v>
      </c>
      <c r="S104" s="376">
        <v>1841879517.1503587</v>
      </c>
      <c r="T104" s="651"/>
    </row>
    <row r="105" spans="1:20" x14ac:dyDescent="0.35">
      <c r="C105" s="237" t="s">
        <v>228</v>
      </c>
      <c r="D105" s="588"/>
      <c r="E105" s="588"/>
      <c r="F105" s="239"/>
      <c r="G105" s="597">
        <v>558063581.91800809</v>
      </c>
      <c r="H105" s="375">
        <v>593304191.31848788</v>
      </c>
      <c r="I105" s="375">
        <v>648728769.15266609</v>
      </c>
      <c r="J105" s="375">
        <v>601500651.77505374</v>
      </c>
      <c r="K105" s="375">
        <v>604129390.83788931</v>
      </c>
      <c r="L105" s="375">
        <v>561327722.69187737</v>
      </c>
      <c r="M105" s="375">
        <v>570128091.91486084</v>
      </c>
      <c r="N105" s="375">
        <v>585294651.76697361</v>
      </c>
      <c r="O105" s="375">
        <v>589067521.07331681</v>
      </c>
      <c r="P105" s="375">
        <v>556725349.65562987</v>
      </c>
      <c r="Q105" s="375">
        <v>581931281.28309929</v>
      </c>
      <c r="R105" s="375">
        <v>733450397.43370473</v>
      </c>
      <c r="S105" s="376">
        <v>904782920.70543957</v>
      </c>
      <c r="T105" s="652"/>
    </row>
    <row r="106" spans="1:20" x14ac:dyDescent="0.35">
      <c r="C106" s="237" t="s">
        <v>565</v>
      </c>
      <c r="D106" s="588"/>
      <c r="E106" s="588"/>
      <c r="F106" s="239"/>
      <c r="G106" s="597">
        <v>119585053.26814456</v>
      </c>
      <c r="H106" s="375">
        <v>127136612.42539024</v>
      </c>
      <c r="I106" s="375">
        <v>139013307.67557129</v>
      </c>
      <c r="J106" s="375">
        <v>128892996.80894007</v>
      </c>
      <c r="K106" s="375">
        <v>129456298.03669055</v>
      </c>
      <c r="L106" s="375">
        <v>120284512.00540227</v>
      </c>
      <c r="M106" s="375">
        <v>122170305.410327</v>
      </c>
      <c r="N106" s="375">
        <v>125420282.52149433</v>
      </c>
      <c r="O106" s="375">
        <v>126228754.51571071</v>
      </c>
      <c r="P106" s="375">
        <v>119298289.21192068</v>
      </c>
      <c r="Q106" s="375">
        <v>124699560.27494982</v>
      </c>
      <c r="R106" s="375">
        <v>157167942.30722243</v>
      </c>
      <c r="S106" s="376">
        <v>193882054.43687987</v>
      </c>
      <c r="T106" s="652"/>
    </row>
    <row r="107" spans="1:20" x14ac:dyDescent="0.35">
      <c r="C107" s="237" t="s">
        <v>567</v>
      </c>
      <c r="D107" s="588"/>
      <c r="E107" s="588"/>
      <c r="F107" s="239"/>
      <c r="G107" s="597">
        <v>139515895.47950202</v>
      </c>
      <c r="H107" s="375">
        <v>148326047.82962197</v>
      </c>
      <c r="I107" s="375">
        <v>162182192.28816652</v>
      </c>
      <c r="J107" s="375">
        <v>150375162.94376343</v>
      </c>
      <c r="K107" s="375">
        <v>151032347.70947233</v>
      </c>
      <c r="L107" s="375">
        <v>140331930.67296934</v>
      </c>
      <c r="M107" s="375">
        <v>142532022.97871521</v>
      </c>
      <c r="N107" s="375">
        <v>146323662.9417434</v>
      </c>
      <c r="O107" s="375">
        <v>147266880.2683292</v>
      </c>
      <c r="P107" s="375">
        <v>139181337.41390747</v>
      </c>
      <c r="Q107" s="375">
        <v>145482820.32077482</v>
      </c>
      <c r="R107" s="375">
        <v>183362599.35842618</v>
      </c>
      <c r="S107" s="376">
        <v>226195730.17635989</v>
      </c>
    </row>
    <row r="108" spans="1:20" x14ac:dyDescent="0.35">
      <c r="C108" s="237" t="s">
        <v>572</v>
      </c>
      <c r="D108" s="588"/>
      <c r="E108" s="588"/>
      <c r="F108" s="239"/>
      <c r="G108" s="597">
        <v>39861684.422714859</v>
      </c>
      <c r="H108" s="375">
        <v>42378870.808463417</v>
      </c>
      <c r="I108" s="375">
        <v>46337769.225190431</v>
      </c>
      <c r="J108" s="375">
        <v>42964332.269646697</v>
      </c>
      <c r="K108" s="375">
        <v>43152099.345563516</v>
      </c>
      <c r="L108" s="375">
        <v>40094837.335134089</v>
      </c>
      <c r="M108" s="375">
        <v>40723435.136775769</v>
      </c>
      <c r="N108" s="375">
        <v>41806760.840498112</v>
      </c>
      <c r="O108" s="375">
        <v>42076251.505236909</v>
      </c>
      <c r="P108" s="375">
        <v>39766096.403973565</v>
      </c>
      <c r="Q108" s="375">
        <v>41566520.091649942</v>
      </c>
      <c r="R108" s="375">
        <v>52389314.102407478</v>
      </c>
      <c r="S108" s="376">
        <v>64627351.478959963</v>
      </c>
    </row>
    <row r="109" spans="1:20" x14ac:dyDescent="0.35">
      <c r="C109" s="561" t="s">
        <v>484</v>
      </c>
      <c r="D109" s="555"/>
      <c r="E109" s="555"/>
      <c r="F109" s="606"/>
      <c r="G109" s="464"/>
      <c r="H109" s="555"/>
      <c r="I109" s="555"/>
      <c r="J109" s="555"/>
      <c r="K109" s="555"/>
      <c r="L109" s="555"/>
      <c r="M109" s="555"/>
      <c r="N109" s="555"/>
      <c r="O109" s="556"/>
      <c r="P109" s="556"/>
      <c r="Q109" s="556"/>
      <c r="R109" s="556"/>
      <c r="S109" s="377"/>
      <c r="T109" s="652"/>
    </row>
    <row r="110" spans="1:20" x14ac:dyDescent="0.35">
      <c r="C110" s="587" t="s">
        <v>480</v>
      </c>
      <c r="D110" s="588"/>
      <c r="E110" s="104"/>
      <c r="F110" s="239"/>
      <c r="G110" s="596">
        <v>260031560.16738597</v>
      </c>
      <c r="H110" s="382">
        <v>289681522.5868901</v>
      </c>
      <c r="I110" s="382">
        <v>327043595.01405221</v>
      </c>
      <c r="J110" s="382">
        <v>336265353.85852939</v>
      </c>
      <c r="K110" s="382">
        <v>361929967.14134079</v>
      </c>
      <c r="L110" s="382">
        <v>361875108.38512725</v>
      </c>
      <c r="M110" s="382">
        <v>392364097.95992917</v>
      </c>
      <c r="N110" s="382">
        <v>425161230.44799602</v>
      </c>
      <c r="O110" s="382">
        <v>452613967.65728402</v>
      </c>
      <c r="P110" s="382">
        <v>455731317.41335821</v>
      </c>
      <c r="Q110" s="382">
        <v>479961958.69801927</v>
      </c>
      <c r="R110" s="382">
        <v>611373358.6948607</v>
      </c>
      <c r="S110" s="501">
        <v>829713970.57983553</v>
      </c>
    </row>
    <row r="111" spans="1:20" x14ac:dyDescent="0.35">
      <c r="C111" s="237" t="s">
        <v>564</v>
      </c>
      <c r="D111" s="588"/>
      <c r="E111" s="104"/>
      <c r="F111" s="239"/>
      <c r="G111" s="597">
        <v>148217989.29540998</v>
      </c>
      <c r="H111" s="375">
        <v>165118467.87452734</v>
      </c>
      <c r="I111" s="375">
        <v>186414849.15800974</v>
      </c>
      <c r="J111" s="375">
        <v>191671251.69936174</v>
      </c>
      <c r="K111" s="375">
        <v>206300081.27056423</v>
      </c>
      <c r="L111" s="375">
        <v>206268811.77952251</v>
      </c>
      <c r="M111" s="375">
        <v>223647535.8371596</v>
      </c>
      <c r="N111" s="375">
        <v>242341901.35535771</v>
      </c>
      <c r="O111" s="375">
        <v>257989961.56465188</v>
      </c>
      <c r="P111" s="375">
        <v>259766850.92561415</v>
      </c>
      <c r="Q111" s="375">
        <v>273578316.45787096</v>
      </c>
      <c r="R111" s="375">
        <v>348482814.45607054</v>
      </c>
      <c r="S111" s="376">
        <v>472936963.23050624</v>
      </c>
    </row>
    <row r="112" spans="1:20" x14ac:dyDescent="0.35">
      <c r="C112" s="237" t="s">
        <v>228</v>
      </c>
      <c r="D112" s="588"/>
      <c r="E112" s="104"/>
      <c r="F112" s="239"/>
      <c r="G112" s="597">
        <v>72808836.846868083</v>
      </c>
      <c r="H112" s="375">
        <v>81110826.324329242</v>
      </c>
      <c r="I112" s="375">
        <v>91572206.603934631</v>
      </c>
      <c r="J112" s="375">
        <v>94154299.080388233</v>
      </c>
      <c r="K112" s="375">
        <v>101340390.79957543</v>
      </c>
      <c r="L112" s="375">
        <v>101325030.34783565</v>
      </c>
      <c r="M112" s="375">
        <v>109861947.42878018</v>
      </c>
      <c r="N112" s="375">
        <v>119045144.52543889</v>
      </c>
      <c r="O112" s="375">
        <v>127304961.32422215</v>
      </c>
      <c r="P112" s="375">
        <v>127604768.8757403</v>
      </c>
      <c r="Q112" s="375">
        <v>134389348.4354454</v>
      </c>
      <c r="R112" s="375">
        <v>171184540.43456101</v>
      </c>
      <c r="S112" s="376">
        <v>232319911.76235399</v>
      </c>
    </row>
    <row r="113" spans="3:20" x14ac:dyDescent="0.35">
      <c r="C113" s="237" t="s">
        <v>565</v>
      </c>
      <c r="D113" s="588"/>
      <c r="E113" s="104"/>
      <c r="F113" s="239"/>
      <c r="G113" s="597">
        <v>15601893.610043157</v>
      </c>
      <c r="H113" s="375">
        <v>17380891.355213404</v>
      </c>
      <c r="I113" s="375">
        <v>19622615.700843133</v>
      </c>
      <c r="J113" s="375">
        <v>20175921.231511764</v>
      </c>
      <c r="K113" s="375">
        <v>21715798.028480448</v>
      </c>
      <c r="L113" s="375">
        <v>21712506.503107633</v>
      </c>
      <c r="M113" s="375">
        <v>23541845.877595749</v>
      </c>
      <c r="N113" s="375">
        <v>25509673.826879762</v>
      </c>
      <c r="O113" s="375">
        <v>27156838.05943704</v>
      </c>
      <c r="P113" s="375">
        <v>27343879.044801492</v>
      </c>
      <c r="Q113" s="375">
        <v>28797717.521881156</v>
      </c>
      <c r="R113" s="375">
        <v>36682401.521691643</v>
      </c>
      <c r="S113" s="376">
        <v>49782838.234790131</v>
      </c>
    </row>
    <row r="114" spans="3:20" x14ac:dyDescent="0.35">
      <c r="C114" s="237" t="s">
        <v>567</v>
      </c>
      <c r="D114" s="588"/>
      <c r="E114" s="104"/>
      <c r="F114" s="239"/>
      <c r="G114" s="597">
        <v>18202209.211717021</v>
      </c>
      <c r="H114" s="375">
        <v>20277706.581082311</v>
      </c>
      <c r="I114" s="375">
        <v>22893051.650983658</v>
      </c>
      <c r="J114" s="375">
        <v>23538574.770097058</v>
      </c>
      <c r="K114" s="375">
        <v>25335097.699893858</v>
      </c>
      <c r="L114" s="375">
        <v>25331257.586958911</v>
      </c>
      <c r="M114" s="375">
        <v>27465486.857195046</v>
      </c>
      <c r="N114" s="375">
        <v>29761286.131359722</v>
      </c>
      <c r="O114" s="375">
        <v>31682977.736009885</v>
      </c>
      <c r="P114" s="375">
        <v>31901192.218935076</v>
      </c>
      <c r="Q114" s="375">
        <v>33597337.10886135</v>
      </c>
      <c r="R114" s="375">
        <v>42796135.108640254</v>
      </c>
      <c r="S114" s="376">
        <v>58079977.940588497</v>
      </c>
    </row>
    <row r="115" spans="3:20" x14ac:dyDescent="0.35">
      <c r="C115" s="237" t="s">
        <v>572</v>
      </c>
      <c r="D115" s="588"/>
      <c r="E115" s="104"/>
      <c r="F115" s="239"/>
      <c r="G115" s="597">
        <v>5200631.2033477193</v>
      </c>
      <c r="H115" s="375">
        <v>5793630.4517378025</v>
      </c>
      <c r="I115" s="375">
        <v>6540871.9002810447</v>
      </c>
      <c r="J115" s="375">
        <v>6725307.0771705881</v>
      </c>
      <c r="K115" s="375">
        <v>7238599.3428268163</v>
      </c>
      <c r="L115" s="375">
        <v>7237502.1677025454</v>
      </c>
      <c r="M115" s="375">
        <v>7847281.9591985838</v>
      </c>
      <c r="N115" s="375">
        <v>8503224.6089599207</v>
      </c>
      <c r="O115" s="375">
        <v>9052279.3531456813</v>
      </c>
      <c r="P115" s="375">
        <v>9114626.3482671641</v>
      </c>
      <c r="Q115" s="375">
        <v>9599239.1739603858</v>
      </c>
      <c r="R115" s="375">
        <v>12227467.173897214</v>
      </c>
      <c r="S115" s="376">
        <v>16594279.411596712</v>
      </c>
    </row>
    <row r="116" spans="3:20" x14ac:dyDescent="0.35">
      <c r="C116" s="561" t="s">
        <v>485</v>
      </c>
      <c r="D116" s="555"/>
      <c r="E116" s="555"/>
      <c r="F116" s="606"/>
      <c r="G116" s="464"/>
      <c r="H116" s="555"/>
      <c r="I116" s="555"/>
      <c r="J116" s="555"/>
      <c r="K116" s="555"/>
      <c r="L116" s="555"/>
      <c r="M116" s="555"/>
      <c r="N116" s="555"/>
      <c r="O116" s="556"/>
      <c r="P116" s="556"/>
      <c r="Q116" s="556"/>
      <c r="R116" s="556"/>
      <c r="S116" s="377"/>
    </row>
    <row r="117" spans="3:20" x14ac:dyDescent="0.35">
      <c r="C117" s="587" t="s">
        <v>480</v>
      </c>
      <c r="D117" s="588"/>
      <c r="E117" s="104"/>
      <c r="F117" s="239"/>
      <c r="G117" s="596">
        <v>127565914.5722914</v>
      </c>
      <c r="H117" s="382">
        <v>143084041.26775378</v>
      </c>
      <c r="I117" s="382">
        <v>154703777.60626742</v>
      </c>
      <c r="J117" s="382">
        <v>149316299.93775678</v>
      </c>
      <c r="K117" s="382">
        <v>160539672.79877368</v>
      </c>
      <c r="L117" s="382">
        <v>161418765.26131415</v>
      </c>
      <c r="M117" s="382">
        <v>159452725.49870926</v>
      </c>
      <c r="N117" s="382">
        <v>163842533.15690032</v>
      </c>
      <c r="O117" s="382">
        <v>167882547.81492403</v>
      </c>
      <c r="P117" s="382">
        <v>169704687.11086848</v>
      </c>
      <c r="Q117" s="382">
        <v>185904753.2417576</v>
      </c>
      <c r="R117" s="382">
        <v>233046498.79596052</v>
      </c>
      <c r="S117" s="501">
        <v>310985844.00251055</v>
      </c>
    </row>
    <row r="118" spans="3:20" x14ac:dyDescent="0.35">
      <c r="C118" s="237" t="s">
        <v>564</v>
      </c>
      <c r="D118" s="588"/>
      <c r="E118" s="104"/>
      <c r="F118" s="239"/>
      <c r="G118" s="597">
        <v>72712571.306206092</v>
      </c>
      <c r="H118" s="375">
        <v>81557903.52261965</v>
      </c>
      <c r="I118" s="375">
        <v>88181153.235572428</v>
      </c>
      <c r="J118" s="375">
        <v>85110290.964521348</v>
      </c>
      <c r="K118" s="375">
        <v>91507613.495300993</v>
      </c>
      <c r="L118" s="375">
        <v>92008696.198949054</v>
      </c>
      <c r="M118" s="375">
        <v>90888053.534264266</v>
      </c>
      <c r="N118" s="375">
        <v>93390243.899433166</v>
      </c>
      <c r="O118" s="375">
        <v>95693052.254506692</v>
      </c>
      <c r="P118" s="375">
        <v>96731671.653195024</v>
      </c>
      <c r="Q118" s="375">
        <v>105965709.34780182</v>
      </c>
      <c r="R118" s="375">
        <v>132836504.31369749</v>
      </c>
      <c r="S118" s="376">
        <v>177261931.081431</v>
      </c>
    </row>
    <row r="119" spans="3:20" x14ac:dyDescent="0.35">
      <c r="C119" s="237" t="s">
        <v>228</v>
      </c>
      <c r="D119" s="588"/>
      <c r="E119" s="104"/>
      <c r="F119" s="239"/>
      <c r="G119" s="597">
        <v>35718456.080241598</v>
      </c>
      <c r="H119" s="375">
        <v>40063531.554971062</v>
      </c>
      <c r="I119" s="375">
        <v>43317057.72975488</v>
      </c>
      <c r="J119" s="375">
        <v>41808563.9825719</v>
      </c>
      <c r="K119" s="375">
        <v>44951108.383656636</v>
      </c>
      <c r="L119" s="375">
        <v>45197254.273167968</v>
      </c>
      <c r="M119" s="375">
        <v>44646763.139638595</v>
      </c>
      <c r="N119" s="375">
        <v>45875909.28393209</v>
      </c>
      <c r="O119" s="375">
        <v>47007113.388178736</v>
      </c>
      <c r="P119" s="375">
        <v>47517312.391043179</v>
      </c>
      <c r="Q119" s="375">
        <v>52053330.907692134</v>
      </c>
      <c r="R119" s="375">
        <v>65253019.662868954</v>
      </c>
      <c r="S119" s="376">
        <v>87076036.320702955</v>
      </c>
      <c r="T119" s="558"/>
    </row>
    <row r="120" spans="3:20" x14ac:dyDescent="0.35">
      <c r="C120" s="237" t="s">
        <v>565</v>
      </c>
      <c r="D120" s="588"/>
      <c r="E120" s="104"/>
      <c r="F120" s="239"/>
      <c r="G120" s="597">
        <v>7653954.8743374841</v>
      </c>
      <c r="H120" s="375">
        <v>8585042.4760652259</v>
      </c>
      <c r="I120" s="375">
        <v>9282226.6563760452</v>
      </c>
      <c r="J120" s="375">
        <v>8958977.9962654058</v>
      </c>
      <c r="K120" s="375">
        <v>9632380.3679264206</v>
      </c>
      <c r="L120" s="375">
        <v>9685125.9156788494</v>
      </c>
      <c r="M120" s="375">
        <v>9567163.5299225561</v>
      </c>
      <c r="N120" s="375">
        <v>9830551.9894140195</v>
      </c>
      <c r="O120" s="375">
        <v>10072952.868895441</v>
      </c>
      <c r="P120" s="375">
        <v>10182281.226652108</v>
      </c>
      <c r="Q120" s="375">
        <v>11154285.194505455</v>
      </c>
      <c r="R120" s="375">
        <v>13982789.92775763</v>
      </c>
      <c r="S120" s="376">
        <v>18659150.640150633</v>
      </c>
    </row>
    <row r="121" spans="3:20" x14ac:dyDescent="0.35">
      <c r="C121" s="237" t="s">
        <v>567</v>
      </c>
      <c r="D121" s="588"/>
      <c r="E121" s="104"/>
      <c r="F121" s="239"/>
      <c r="G121" s="597">
        <v>8929614.0200603995</v>
      </c>
      <c r="H121" s="375">
        <v>10015882.888742765</v>
      </c>
      <c r="I121" s="375">
        <v>10829264.43243872</v>
      </c>
      <c r="J121" s="375">
        <v>10452140.995642975</v>
      </c>
      <c r="K121" s="375">
        <v>11237777.095914159</v>
      </c>
      <c r="L121" s="375">
        <v>11299313.568291992</v>
      </c>
      <c r="M121" s="375">
        <v>11161690.784909649</v>
      </c>
      <c r="N121" s="375">
        <v>11468977.320983022</v>
      </c>
      <c r="O121" s="375">
        <v>11751778.347044684</v>
      </c>
      <c r="P121" s="375">
        <v>11879328.097760795</v>
      </c>
      <c r="Q121" s="375">
        <v>13013332.726923034</v>
      </c>
      <c r="R121" s="375">
        <v>16313254.915717239</v>
      </c>
      <c r="S121" s="376">
        <v>21769009.080175739</v>
      </c>
    </row>
    <row r="122" spans="3:20" x14ac:dyDescent="0.35">
      <c r="C122" s="237" t="s">
        <v>572</v>
      </c>
      <c r="D122" s="588"/>
      <c r="E122" s="104"/>
      <c r="F122" s="239"/>
      <c r="G122" s="597">
        <v>2551318.291445828</v>
      </c>
      <c r="H122" s="375">
        <v>2861680.8253550758</v>
      </c>
      <c r="I122" s="375">
        <v>3094075.5521253487</v>
      </c>
      <c r="J122" s="375">
        <v>2986325.9987551356</v>
      </c>
      <c r="K122" s="375">
        <v>3210793.4559754734</v>
      </c>
      <c r="L122" s="375">
        <v>3228375.3052262831</v>
      </c>
      <c r="M122" s="375">
        <v>3189054.5099741854</v>
      </c>
      <c r="N122" s="375">
        <v>3276850.6631380063</v>
      </c>
      <c r="O122" s="375">
        <v>3357650.9562984807</v>
      </c>
      <c r="P122" s="375">
        <v>3394093.7422173698</v>
      </c>
      <c r="Q122" s="375">
        <v>3718095.0648351521</v>
      </c>
      <c r="R122" s="375">
        <v>4660929.9759192104</v>
      </c>
      <c r="S122" s="376">
        <v>6219716.8800502112</v>
      </c>
    </row>
    <row r="123" spans="3:20" x14ac:dyDescent="0.35">
      <c r="C123" s="561" t="s">
        <v>486</v>
      </c>
      <c r="D123" s="555"/>
      <c r="E123" s="555"/>
      <c r="F123" s="606"/>
      <c r="G123" s="464"/>
      <c r="H123" s="555"/>
      <c r="I123" s="555"/>
      <c r="J123" s="555"/>
      <c r="K123" s="555"/>
      <c r="L123" s="555"/>
      <c r="M123" s="555"/>
      <c r="N123" s="555"/>
      <c r="O123" s="556"/>
      <c r="P123" s="556"/>
      <c r="Q123" s="556"/>
      <c r="R123" s="556"/>
      <c r="S123" s="377"/>
    </row>
    <row r="124" spans="3:20" x14ac:dyDescent="0.35">
      <c r="C124" s="587" t="s">
        <v>480</v>
      </c>
      <c r="D124" s="589"/>
      <c r="E124" s="104"/>
      <c r="F124" s="239"/>
      <c r="G124" s="596">
        <v>108430226.70544079</v>
      </c>
      <c r="H124" s="382">
        <v>117806437.7017794</v>
      </c>
      <c r="I124" s="382">
        <v>132057904.59105213</v>
      </c>
      <c r="J124" s="382">
        <v>119983021.48306315</v>
      </c>
      <c r="K124" s="382">
        <v>125687535.90600373</v>
      </c>
      <c r="L124" s="382">
        <v>133502410.90084594</v>
      </c>
      <c r="M124" s="382">
        <v>150154535.74295661</v>
      </c>
      <c r="N124" s="382">
        <v>157118176.64079878</v>
      </c>
      <c r="O124" s="382">
        <v>162821464.33498082</v>
      </c>
      <c r="P124" s="382">
        <v>153995384.75059611</v>
      </c>
      <c r="Q124" s="382">
        <v>164333208.2231158</v>
      </c>
      <c r="R124" s="382">
        <v>223509415.16848806</v>
      </c>
      <c r="S124" s="501">
        <v>344294133.5335837</v>
      </c>
    </row>
    <row r="125" spans="3:20" x14ac:dyDescent="0.35">
      <c r="C125" s="237" t="s">
        <v>564</v>
      </c>
      <c r="D125" s="589"/>
      <c r="E125" s="104"/>
      <c r="F125" s="239"/>
      <c r="G125" s="597">
        <v>61805229.222101241</v>
      </c>
      <c r="H125" s="375">
        <v>67149669.490014255</v>
      </c>
      <c r="I125" s="375">
        <v>75273005.616899714</v>
      </c>
      <c r="J125" s="375">
        <v>68390322.245345995</v>
      </c>
      <c r="K125" s="375">
        <v>71641895.466422126</v>
      </c>
      <c r="L125" s="375">
        <v>76096374.213482186</v>
      </c>
      <c r="M125" s="375">
        <v>85588085.373485252</v>
      </c>
      <c r="N125" s="375">
        <v>89557360.685255289</v>
      </c>
      <c r="O125" s="375">
        <v>92808234.670939058</v>
      </c>
      <c r="P125" s="375">
        <v>87777369.307839766</v>
      </c>
      <c r="Q125" s="375">
        <v>93669928.687176004</v>
      </c>
      <c r="R125" s="375">
        <v>127400366.64603817</v>
      </c>
      <c r="S125" s="376">
        <v>196247656.11414269</v>
      </c>
    </row>
    <row r="126" spans="3:20" x14ac:dyDescent="0.35">
      <c r="C126" s="237" t="s">
        <v>228</v>
      </c>
      <c r="D126" s="588"/>
      <c r="E126" s="104"/>
      <c r="F126" s="239"/>
      <c r="G126" s="597">
        <v>30360463.477523424</v>
      </c>
      <c r="H126" s="375">
        <v>32985802.556498233</v>
      </c>
      <c r="I126" s="375">
        <v>36976213.285494603</v>
      </c>
      <c r="J126" s="375">
        <v>33595246.015257686</v>
      </c>
      <c r="K126" s="375">
        <v>35192510.053681046</v>
      </c>
      <c r="L126" s="375">
        <v>37380675.05223687</v>
      </c>
      <c r="M126" s="375">
        <v>42043270.008027852</v>
      </c>
      <c r="N126" s="375">
        <v>43993089.459423661</v>
      </c>
      <c r="O126" s="375">
        <v>45590010.013794631</v>
      </c>
      <c r="P126" s="375">
        <v>43118707.730166912</v>
      </c>
      <c r="Q126" s="375">
        <v>46013298.302472427</v>
      </c>
      <c r="R126" s="375">
        <v>62582636.247176662</v>
      </c>
      <c r="S126" s="376">
        <v>96402357.389403448</v>
      </c>
    </row>
    <row r="127" spans="3:20" x14ac:dyDescent="0.35">
      <c r="C127" s="237" t="s">
        <v>565</v>
      </c>
      <c r="D127" s="588"/>
      <c r="E127" s="104"/>
      <c r="F127" s="239"/>
      <c r="G127" s="597">
        <v>6505813.6023264471</v>
      </c>
      <c r="H127" s="375">
        <v>7068386.2621067632</v>
      </c>
      <c r="I127" s="375">
        <v>7923474.2754631275</v>
      </c>
      <c r="J127" s="375">
        <v>7198981.2889837883</v>
      </c>
      <c r="K127" s="375">
        <v>7541252.1543602236</v>
      </c>
      <c r="L127" s="375">
        <v>8010144.6540507562</v>
      </c>
      <c r="M127" s="375">
        <v>9009272.144577397</v>
      </c>
      <c r="N127" s="375">
        <v>9427090.5984479263</v>
      </c>
      <c r="O127" s="375">
        <v>9769287.8600988481</v>
      </c>
      <c r="P127" s="375">
        <v>9239723.0850357655</v>
      </c>
      <c r="Q127" s="375">
        <v>9859992.4933869485</v>
      </c>
      <c r="R127" s="375">
        <v>13410564.910109283</v>
      </c>
      <c r="S127" s="376">
        <v>20657648.012015022</v>
      </c>
    </row>
    <row r="128" spans="3:20" x14ac:dyDescent="0.35">
      <c r="C128" s="237" t="s">
        <v>567</v>
      </c>
      <c r="D128" s="588"/>
      <c r="E128" s="104"/>
      <c r="F128" s="239"/>
      <c r="G128" s="597">
        <v>7590115.8693808559</v>
      </c>
      <c r="H128" s="375">
        <v>8246450.6391245583</v>
      </c>
      <c r="I128" s="375">
        <v>9244053.3213736508</v>
      </c>
      <c r="J128" s="375">
        <v>8398811.5038144216</v>
      </c>
      <c r="K128" s="375">
        <v>8798127.5134202614</v>
      </c>
      <c r="L128" s="375">
        <v>9345168.7630592175</v>
      </c>
      <c r="M128" s="375">
        <v>10510817.502006963</v>
      </c>
      <c r="N128" s="375">
        <v>10998272.364855915</v>
      </c>
      <c r="O128" s="375">
        <v>11397502.503448658</v>
      </c>
      <c r="P128" s="375">
        <v>10779676.932541728</v>
      </c>
      <c r="Q128" s="375">
        <v>11503324.575618107</v>
      </c>
      <c r="R128" s="375">
        <v>15645659.061794166</v>
      </c>
      <c r="S128" s="376">
        <v>24100589.347350862</v>
      </c>
    </row>
    <row r="129" spans="3:19" x14ac:dyDescent="0.35">
      <c r="C129" s="237" t="s">
        <v>572</v>
      </c>
      <c r="D129" s="588"/>
      <c r="E129" s="104"/>
      <c r="F129" s="239"/>
      <c r="G129" s="597">
        <v>2168604.5341088157</v>
      </c>
      <c r="H129" s="375">
        <v>2356128.7540355879</v>
      </c>
      <c r="I129" s="375">
        <v>2641158.0918210428</v>
      </c>
      <c r="J129" s="375">
        <v>2399660.4296612628</v>
      </c>
      <c r="K129" s="375">
        <v>2513750.7181200748</v>
      </c>
      <c r="L129" s="375">
        <v>2670048.2180169187</v>
      </c>
      <c r="M129" s="375">
        <v>3003090.7148591322</v>
      </c>
      <c r="N129" s="375">
        <v>3142363.5328159756</v>
      </c>
      <c r="O129" s="375">
        <v>3256429.2866996164</v>
      </c>
      <c r="P129" s="375">
        <v>3079907.6950119222</v>
      </c>
      <c r="Q129" s="375">
        <v>3286664.1644623163</v>
      </c>
      <c r="R129" s="375">
        <v>4470188.3033697614</v>
      </c>
      <c r="S129" s="376">
        <v>6885882.6706716744</v>
      </c>
    </row>
    <row r="130" spans="3:19" x14ac:dyDescent="0.35">
      <c r="C130" s="561" t="s">
        <v>487</v>
      </c>
      <c r="D130" s="555"/>
      <c r="E130" s="555"/>
      <c r="F130" s="606"/>
      <c r="G130" s="464"/>
      <c r="H130" s="555"/>
      <c r="I130" s="555"/>
      <c r="J130" s="555"/>
      <c r="K130" s="555"/>
      <c r="L130" s="555"/>
      <c r="M130" s="555"/>
      <c r="N130" s="555"/>
      <c r="O130" s="556"/>
      <c r="P130" s="556"/>
      <c r="Q130" s="556"/>
      <c r="R130" s="556"/>
      <c r="S130" s="377"/>
    </row>
    <row r="131" spans="3:19" x14ac:dyDescent="0.35">
      <c r="C131" s="587" t="s">
        <v>480</v>
      </c>
      <c r="D131" s="588"/>
      <c r="E131" s="104"/>
      <c r="F131" s="239"/>
      <c r="G131" s="596">
        <v>8401458.5908000004</v>
      </c>
      <c r="H131" s="382">
        <v>8581906.5769999996</v>
      </c>
      <c r="I131" s="382">
        <v>14805557.192800002</v>
      </c>
      <c r="J131" s="382">
        <v>20572057.6756</v>
      </c>
      <c r="K131" s="382">
        <v>32473913.683600001</v>
      </c>
      <c r="L131" s="382">
        <v>57410841.060999982</v>
      </c>
      <c r="M131" s="382">
        <v>59804247.895399995</v>
      </c>
      <c r="N131" s="382">
        <v>65267968.994000003</v>
      </c>
      <c r="O131" s="382">
        <v>69726552.769400015</v>
      </c>
      <c r="P131" s="382">
        <v>68353993.842999995</v>
      </c>
      <c r="Q131" s="382">
        <v>72124597.627800003</v>
      </c>
      <c r="R131" s="382">
        <v>81947474.976999998</v>
      </c>
      <c r="S131" s="501">
        <v>151380838.66599998</v>
      </c>
    </row>
    <row r="132" spans="3:19" x14ac:dyDescent="0.35">
      <c r="C132" s="237" t="s">
        <v>564</v>
      </c>
      <c r="D132" s="588"/>
      <c r="E132" s="104"/>
      <c r="F132" s="239"/>
      <c r="G132" s="597">
        <v>4788831.3967559999</v>
      </c>
      <c r="H132" s="375">
        <v>4891686.7488899995</v>
      </c>
      <c r="I132" s="375">
        <v>8439167.5998960007</v>
      </c>
      <c r="J132" s="375">
        <v>11726072.875092</v>
      </c>
      <c r="K132" s="375">
        <v>18510130.799651999</v>
      </c>
      <c r="L132" s="375">
        <v>32724179.404769987</v>
      </c>
      <c r="M132" s="375">
        <v>34088421.300377995</v>
      </c>
      <c r="N132" s="375">
        <v>37202742.326579995</v>
      </c>
      <c r="O132" s="375">
        <v>39744135.078558005</v>
      </c>
      <c r="P132" s="375">
        <v>38961776.490509994</v>
      </c>
      <c r="Q132" s="375">
        <v>41111020.647845998</v>
      </c>
      <c r="R132" s="375">
        <v>46710060.736889996</v>
      </c>
      <c r="S132" s="376">
        <v>86287078.039619982</v>
      </c>
    </row>
    <row r="133" spans="3:19" x14ac:dyDescent="0.35">
      <c r="C133" s="237" t="s">
        <v>228</v>
      </c>
      <c r="D133" s="588"/>
      <c r="E133" s="104"/>
      <c r="F133" s="239"/>
      <c r="G133" s="597">
        <v>2352408.4054240002</v>
      </c>
      <c r="H133" s="375">
        <v>2402933.8415600001</v>
      </c>
      <c r="I133" s="375">
        <v>4145556.0139840008</v>
      </c>
      <c r="J133" s="375">
        <v>5760176.1491680006</v>
      </c>
      <c r="K133" s="375">
        <v>9092695.8314080015</v>
      </c>
      <c r="L133" s="375">
        <v>16075035.497079996</v>
      </c>
      <c r="M133" s="375">
        <v>16745189.410712</v>
      </c>
      <c r="N133" s="375">
        <v>18275031.318320002</v>
      </c>
      <c r="O133" s="375">
        <v>19523434.775432006</v>
      </c>
      <c r="P133" s="375">
        <v>19139118.276039999</v>
      </c>
      <c r="Q133" s="375">
        <v>20194887.335784003</v>
      </c>
      <c r="R133" s="375">
        <v>22945292.993560001</v>
      </c>
      <c r="S133" s="376">
        <v>42386634.826480001</v>
      </c>
    </row>
    <row r="134" spans="3:19" x14ac:dyDescent="0.35">
      <c r="C134" s="237" t="s">
        <v>565</v>
      </c>
      <c r="D134" s="588"/>
      <c r="E134" s="104"/>
      <c r="F134" s="239"/>
      <c r="G134" s="597">
        <v>504087.51544799999</v>
      </c>
      <c r="H134" s="375">
        <v>514914.39461999998</v>
      </c>
      <c r="I134" s="375">
        <v>888333.43156800012</v>
      </c>
      <c r="J134" s="375">
        <v>1234323.4605359999</v>
      </c>
      <c r="K134" s="375">
        <v>1948434.8210159999</v>
      </c>
      <c r="L134" s="375">
        <v>3444650.463659999</v>
      </c>
      <c r="M134" s="375">
        <v>3588254.8737239996</v>
      </c>
      <c r="N134" s="375">
        <v>3916078.1396400002</v>
      </c>
      <c r="O134" s="375">
        <v>4183593.166164001</v>
      </c>
      <c r="P134" s="375">
        <v>4101239.6305799996</v>
      </c>
      <c r="Q134" s="375">
        <v>4327475.8576680003</v>
      </c>
      <c r="R134" s="375">
        <v>4916848.4986199997</v>
      </c>
      <c r="S134" s="376">
        <v>9082850.3199599981</v>
      </c>
    </row>
    <row r="135" spans="3:19" x14ac:dyDescent="0.35">
      <c r="C135" s="237" t="s">
        <v>567</v>
      </c>
      <c r="D135" s="588"/>
      <c r="E135" s="104"/>
      <c r="F135" s="239"/>
      <c r="G135" s="597">
        <v>588102.10135600006</v>
      </c>
      <c r="H135" s="375">
        <v>600733.46039000002</v>
      </c>
      <c r="I135" s="375">
        <v>1036389.0034960002</v>
      </c>
      <c r="J135" s="375">
        <v>1440044.0372920001</v>
      </c>
      <c r="K135" s="375">
        <v>2273173.9578520004</v>
      </c>
      <c r="L135" s="375">
        <v>4018758.8742699991</v>
      </c>
      <c r="M135" s="375">
        <v>4186297.352678</v>
      </c>
      <c r="N135" s="375">
        <v>4568757.8295800006</v>
      </c>
      <c r="O135" s="375">
        <v>4880858.6938580014</v>
      </c>
      <c r="P135" s="375">
        <v>4784779.5690099997</v>
      </c>
      <c r="Q135" s="375">
        <v>5048721.8339460008</v>
      </c>
      <c r="R135" s="375">
        <v>5736323.2483900003</v>
      </c>
      <c r="S135" s="376">
        <v>10596658.70662</v>
      </c>
    </row>
    <row r="136" spans="3:19" x14ac:dyDescent="0.35">
      <c r="C136" s="237" t="s">
        <v>572</v>
      </c>
      <c r="D136" s="588"/>
      <c r="E136" s="104"/>
      <c r="F136" s="239"/>
      <c r="G136" s="597">
        <v>168029.17181600002</v>
      </c>
      <c r="H136" s="375">
        <v>171638.13154</v>
      </c>
      <c r="I136" s="375">
        <v>296111.14385600004</v>
      </c>
      <c r="J136" s="375">
        <v>411441.15351199999</v>
      </c>
      <c r="K136" s="375">
        <v>649478.27367200004</v>
      </c>
      <c r="L136" s="375">
        <v>1148216.8212199996</v>
      </c>
      <c r="M136" s="375">
        <v>1196084.9579079999</v>
      </c>
      <c r="N136" s="375">
        <v>1305359.3798800001</v>
      </c>
      <c r="O136" s="375">
        <v>1394531.0553880003</v>
      </c>
      <c r="P136" s="375">
        <v>1367079.87686</v>
      </c>
      <c r="Q136" s="375">
        <v>1442491.9525560001</v>
      </c>
      <c r="R136" s="375">
        <v>1638949.49954</v>
      </c>
      <c r="S136" s="376">
        <v>3027616.7733199997</v>
      </c>
    </row>
    <row r="137" spans="3:19" x14ac:dyDescent="0.35">
      <c r="C137" s="586" t="s">
        <v>277</v>
      </c>
      <c r="D137" s="588"/>
      <c r="E137" s="104"/>
      <c r="F137" s="239"/>
      <c r="G137" s="599">
        <v>3878897.6911886614</v>
      </c>
      <c r="H137" s="434">
        <v>3922085.7104062364</v>
      </c>
      <c r="I137" s="434">
        <v>6678082.1101532951</v>
      </c>
      <c r="J137" s="434">
        <v>8704529.7296292726</v>
      </c>
      <c r="K137" s="434">
        <v>13978879.123448778</v>
      </c>
      <c r="L137" s="434">
        <v>25368449.724873397</v>
      </c>
      <c r="M137" s="434">
        <v>26847331.889205676</v>
      </c>
      <c r="N137" s="434">
        <v>28128753.499886386</v>
      </c>
      <c r="O137" s="434">
        <v>30211308.553098485</v>
      </c>
      <c r="P137" s="434">
        <v>29437246.586774904</v>
      </c>
      <c r="Q137" s="434">
        <v>30884938.396402355</v>
      </c>
      <c r="R137" s="434">
        <v>36395910.718658224</v>
      </c>
      <c r="S137" s="500">
        <v>63057343.531907231</v>
      </c>
    </row>
    <row r="138" spans="3:19" x14ac:dyDescent="0.35">
      <c r="C138" s="679" t="s">
        <v>480</v>
      </c>
      <c r="D138" s="603"/>
      <c r="E138" s="564"/>
      <c r="F138" s="565"/>
      <c r="G138" s="676">
        <v>1153085358.1243534</v>
      </c>
      <c r="H138" s="677">
        <v>1223938718.0244784</v>
      </c>
      <c r="I138" s="677">
        <v>1328574527.5028605</v>
      </c>
      <c r="J138" s="677">
        <v>1173895269.2711358</v>
      </c>
      <c r="K138" s="677">
        <v>1221760923.1981277</v>
      </c>
      <c r="L138" s="677">
        <v>1201437211.902519</v>
      </c>
      <c r="M138" s="677">
        <v>1256054948.1283584</v>
      </c>
      <c r="N138" s="677">
        <v>1250567338.3578963</v>
      </c>
      <c r="O138" s="677">
        <v>1281155010.312408</v>
      </c>
      <c r="P138" s="677">
        <v>1221387105.0332799</v>
      </c>
      <c r="Q138" s="677">
        <v>1276363554.0784986</v>
      </c>
      <c r="R138" s="677">
        <v>1674104680.0659182</v>
      </c>
      <c r="S138" s="678">
        <v>2027646992.6461322</v>
      </c>
    </row>
    <row r="139" spans="3:19" x14ac:dyDescent="0.35">
      <c r="C139" s="237" t="s">
        <v>662</v>
      </c>
      <c r="D139" s="588"/>
      <c r="E139" s="104"/>
      <c r="F139" s="239"/>
      <c r="G139" s="680">
        <f>G132+G125+G118+G111+G104</f>
        <v>1423582627.2678466</v>
      </c>
      <c r="H139" s="680">
        <f t="shared" ref="H139:S139" si="6">H132+H125+H118+H111+H104</f>
        <v>1526515545.6772585</v>
      </c>
      <c r="I139" s="680">
        <f t="shared" si="6"/>
        <v>1678934598.5283051</v>
      </c>
      <c r="J139" s="680">
        <f t="shared" si="6"/>
        <v>1581381407.4692516</v>
      </c>
      <c r="K139" s="680">
        <f t="shared" si="6"/>
        <v>1617794552.3804994</v>
      </c>
      <c r="L139" s="680">
        <f t="shared" si="6"/>
        <v>1549800925.6480453</v>
      </c>
      <c r="M139" s="680">
        <f t="shared" si="6"/>
        <v>1594829997.4433966</v>
      </c>
      <c r="N139" s="680">
        <f t="shared" si="6"/>
        <v>1653984932.2208221</v>
      </c>
      <c r="O139" s="680">
        <f t="shared" si="6"/>
        <v>1685408551.4679074</v>
      </c>
      <c r="P139" s="680">
        <f t="shared" si="6"/>
        <v>1616571415.8904052</v>
      </c>
      <c r="Q139" s="680">
        <f t="shared" si="6"/>
        <v>1698970797.7527182</v>
      </c>
      <c r="R139" s="680">
        <f t="shared" si="6"/>
        <v>2148525198.0713091</v>
      </c>
      <c r="S139" s="681">
        <f t="shared" si="6"/>
        <v>2774613145.6160583</v>
      </c>
    </row>
    <row r="140" spans="3:19" x14ac:dyDescent="0.35">
      <c r="C140" s="237" t="s">
        <v>663</v>
      </c>
      <c r="D140" s="588"/>
      <c r="E140" s="104"/>
      <c r="F140" s="239"/>
      <c r="G140" s="680">
        <f t="shared" ref="G140:S143" si="7">G133+G126+G119+G112+G105</f>
        <v>699303746.72806525</v>
      </c>
      <c r="H140" s="680">
        <f t="shared" si="7"/>
        <v>749867285.59584641</v>
      </c>
      <c r="I140" s="680">
        <f t="shared" si="7"/>
        <v>824739802.78583419</v>
      </c>
      <c r="J140" s="680">
        <f t="shared" si="7"/>
        <v>776818937.0024395</v>
      </c>
      <c r="K140" s="680">
        <f t="shared" si="7"/>
        <v>794706095.90621042</v>
      </c>
      <c r="L140" s="680">
        <f t="shared" si="7"/>
        <v>761305717.86219788</v>
      </c>
      <c r="M140" s="680">
        <f t="shared" si="7"/>
        <v>783425261.9020195</v>
      </c>
      <c r="N140" s="680">
        <f t="shared" si="7"/>
        <v>812483826.35408831</v>
      </c>
      <c r="O140" s="680">
        <f t="shared" si="7"/>
        <v>828493040.57494426</v>
      </c>
      <c r="P140" s="680">
        <f t="shared" si="7"/>
        <v>794105256.92862034</v>
      </c>
      <c r="Q140" s="680">
        <f t="shared" si="7"/>
        <v>834582146.26449323</v>
      </c>
      <c r="R140" s="680">
        <f t="shared" si="7"/>
        <v>1055415886.7718713</v>
      </c>
      <c r="S140" s="681">
        <f t="shared" si="7"/>
        <v>1362967861.00438</v>
      </c>
    </row>
    <row r="141" spans="3:19" x14ac:dyDescent="0.35">
      <c r="C141" s="237" t="s">
        <v>664</v>
      </c>
      <c r="D141" s="588"/>
      <c r="E141" s="104"/>
      <c r="F141" s="239"/>
      <c r="G141" s="680">
        <f t="shared" si="7"/>
        <v>149850802.87029964</v>
      </c>
      <c r="H141" s="680">
        <f t="shared" si="7"/>
        <v>160685846.91339564</v>
      </c>
      <c r="I141" s="680">
        <f t="shared" si="7"/>
        <v>176729957.73982161</v>
      </c>
      <c r="J141" s="680">
        <f t="shared" si="7"/>
        <v>166461200.78623703</v>
      </c>
      <c r="K141" s="680">
        <f t="shared" si="7"/>
        <v>170294163.40847364</v>
      </c>
      <c r="L141" s="680">
        <f t="shared" si="7"/>
        <v>163136939.5418995</v>
      </c>
      <c r="M141" s="680">
        <f>M134+M127+M120+M113+M106</f>
        <v>167876841.83614671</v>
      </c>
      <c r="N141" s="680">
        <f t="shared" si="7"/>
        <v>174103677.07587603</v>
      </c>
      <c r="O141" s="680">
        <f t="shared" si="7"/>
        <v>177411426.47030604</v>
      </c>
      <c r="P141" s="680">
        <f t="shared" si="7"/>
        <v>170165412.19899005</v>
      </c>
      <c r="Q141" s="680">
        <f t="shared" si="7"/>
        <v>178839031.34239137</v>
      </c>
      <c r="R141" s="680">
        <f t="shared" si="7"/>
        <v>226160547.16540098</v>
      </c>
      <c r="S141" s="681">
        <f t="shared" si="7"/>
        <v>292064541.64379567</v>
      </c>
    </row>
    <row r="142" spans="3:19" x14ac:dyDescent="0.35">
      <c r="C142" s="237" t="s">
        <v>665</v>
      </c>
      <c r="D142" s="588"/>
      <c r="E142" s="104"/>
      <c r="F142" s="239"/>
      <c r="G142" s="680">
        <f t="shared" si="7"/>
        <v>174825936.68201631</v>
      </c>
      <c r="H142" s="680">
        <f t="shared" si="7"/>
        <v>187466821.3989616</v>
      </c>
      <c r="I142" s="680">
        <f t="shared" si="7"/>
        <v>206184950.69645855</v>
      </c>
      <c r="J142" s="680">
        <f t="shared" si="7"/>
        <v>194204734.25060987</v>
      </c>
      <c r="K142" s="680">
        <f t="shared" si="7"/>
        <v>198676523.97655261</v>
      </c>
      <c r="L142" s="680">
        <f t="shared" si="7"/>
        <v>190326429.46554947</v>
      </c>
      <c r="M142" s="680">
        <f t="shared" si="7"/>
        <v>195856315.47550488</v>
      </c>
      <c r="N142" s="680">
        <f t="shared" si="7"/>
        <v>203120956.58852208</v>
      </c>
      <c r="O142" s="680">
        <f t="shared" si="7"/>
        <v>206979997.54869044</v>
      </c>
      <c r="P142" s="680">
        <f t="shared" si="7"/>
        <v>198526314.23215508</v>
      </c>
      <c r="Q142" s="680">
        <f t="shared" si="7"/>
        <v>208645536.56612331</v>
      </c>
      <c r="R142" s="680">
        <f t="shared" si="7"/>
        <v>263853971.69296783</v>
      </c>
      <c r="S142" s="681">
        <f t="shared" si="7"/>
        <v>340741965.251095</v>
      </c>
    </row>
    <row r="143" spans="3:19" x14ac:dyDescent="0.35">
      <c r="C143" s="237" t="s">
        <v>666</v>
      </c>
      <c r="D143" s="588"/>
      <c r="E143" s="104"/>
      <c r="F143" s="239"/>
      <c r="G143" s="680">
        <f t="shared" si="7"/>
        <v>49950267.623433217</v>
      </c>
      <c r="H143" s="680">
        <f t="shared" si="7"/>
        <v>53561948.971131884</v>
      </c>
      <c r="I143" s="680">
        <f t="shared" si="7"/>
        <v>58909985.913273871</v>
      </c>
      <c r="J143" s="680">
        <f t="shared" si="7"/>
        <v>55487066.928745687</v>
      </c>
      <c r="K143" s="680">
        <f t="shared" si="7"/>
        <v>56764721.136157885</v>
      </c>
      <c r="L143" s="680">
        <f t="shared" si="7"/>
        <v>54378979.847299837</v>
      </c>
      <c r="M143" s="680">
        <f t="shared" si="7"/>
        <v>55958947.27871567</v>
      </c>
      <c r="N143" s="680">
        <f t="shared" si="7"/>
        <v>58034559.025292017</v>
      </c>
      <c r="O143" s="680">
        <f t="shared" si="7"/>
        <v>59137142.156768687</v>
      </c>
      <c r="P143" s="680">
        <f t="shared" si="7"/>
        <v>56721804.066330023</v>
      </c>
      <c r="Q143" s="680">
        <f t="shared" si="7"/>
        <v>59613010.447463796</v>
      </c>
      <c r="R143" s="680">
        <f t="shared" si="7"/>
        <v>75386849.055133671</v>
      </c>
      <c r="S143" s="681">
        <f t="shared" si="7"/>
        <v>97354847.214598566</v>
      </c>
    </row>
    <row r="144" spans="3:19" x14ac:dyDescent="0.35">
      <c r="C144" s="521" t="s">
        <v>573</v>
      </c>
      <c r="D144" s="670"/>
      <c r="E144" s="671"/>
      <c r="F144" s="672"/>
      <c r="G144" s="673"/>
      <c r="H144" s="674"/>
      <c r="I144" s="674"/>
      <c r="J144" s="674"/>
      <c r="K144" s="674"/>
      <c r="L144" s="674"/>
      <c r="M144" s="674"/>
      <c r="N144" s="674"/>
      <c r="O144" s="674"/>
      <c r="P144" s="674"/>
      <c r="Q144" s="674"/>
      <c r="R144" s="674"/>
      <c r="S144" s="675"/>
    </row>
    <row r="147" spans="3:19" x14ac:dyDescent="0.35">
      <c r="C147" s="15" t="s">
        <v>667</v>
      </c>
    </row>
    <row r="149" spans="3:19" x14ac:dyDescent="0.35">
      <c r="C149" s="602" t="s">
        <v>475</v>
      </c>
      <c r="D149" s="603"/>
      <c r="E149" s="564"/>
      <c r="F149" s="565"/>
      <c r="G149" s="418">
        <v>2011</v>
      </c>
      <c r="H149" s="419">
        <v>2012</v>
      </c>
      <c r="I149" s="419">
        <v>2013</v>
      </c>
      <c r="J149" s="419">
        <v>2014</v>
      </c>
      <c r="K149" s="419">
        <v>2015</v>
      </c>
      <c r="L149" s="419">
        <v>2016</v>
      </c>
      <c r="M149" s="419">
        <v>2017</v>
      </c>
      <c r="N149" s="419">
        <v>2018</v>
      </c>
      <c r="O149" s="419">
        <v>2019</v>
      </c>
      <c r="P149" s="419">
        <v>2020</v>
      </c>
      <c r="Q149" s="419">
        <v>2021</v>
      </c>
      <c r="R149" s="419">
        <v>2022</v>
      </c>
      <c r="S149" s="420">
        <v>2023</v>
      </c>
    </row>
    <row r="150" spans="3:19" x14ac:dyDescent="0.35">
      <c r="C150" s="561" t="s">
        <v>476</v>
      </c>
      <c r="D150" s="555"/>
      <c r="E150" s="555"/>
      <c r="F150" s="606"/>
      <c r="G150" s="593"/>
      <c r="H150" s="594"/>
      <c r="I150" s="594"/>
      <c r="J150" s="594"/>
      <c r="K150" s="594"/>
      <c r="L150" s="594"/>
      <c r="M150" s="594"/>
      <c r="N150" s="594"/>
      <c r="O150" s="594"/>
      <c r="P150" s="594"/>
      <c r="Q150" s="594"/>
      <c r="R150" s="594"/>
      <c r="S150" s="595"/>
    </row>
    <row r="151" spans="3:19" x14ac:dyDescent="0.35">
      <c r="C151" s="587" t="s">
        <v>480</v>
      </c>
      <c r="D151" s="588"/>
      <c r="E151" s="104"/>
      <c r="F151" s="239" t="s">
        <v>668</v>
      </c>
      <c r="G151" s="656"/>
      <c r="H151" s="657"/>
      <c r="I151" s="657"/>
      <c r="J151" s="657"/>
      <c r="K151" s="657"/>
      <c r="L151" s="657"/>
      <c r="M151" s="657"/>
      <c r="N151" s="657"/>
      <c r="O151" s="657"/>
      <c r="P151" s="657"/>
      <c r="Q151" s="657"/>
      <c r="R151" s="657"/>
      <c r="S151" s="658"/>
    </row>
    <row r="152" spans="3:19" x14ac:dyDescent="0.35">
      <c r="C152" s="237" t="s">
        <v>564</v>
      </c>
      <c r="D152" s="588"/>
      <c r="E152" s="104"/>
      <c r="F152" s="239" t="s">
        <v>669</v>
      </c>
      <c r="G152" s="656">
        <f>G104/G$13</f>
        <v>12429518.665726187</v>
      </c>
      <c r="H152" s="656">
        <f t="shared" ref="H152:S152" si="8">H104/H13</f>
        <v>12804641.590683354</v>
      </c>
      <c r="I152" s="656">
        <f t="shared" si="8"/>
        <v>13072273.42655706</v>
      </c>
      <c r="J152" s="656">
        <f t="shared" si="8"/>
        <v>11529976.174057728</v>
      </c>
      <c r="K152" s="656">
        <f t="shared" si="8"/>
        <v>11180316.648623273</v>
      </c>
      <c r="L152" s="656">
        <f t="shared" si="8"/>
        <v>11008698.112247799</v>
      </c>
      <c r="M152" s="656">
        <f t="shared" si="8"/>
        <v>10783906.168623548</v>
      </c>
      <c r="N152" s="656">
        <f t="shared" si="8"/>
        <v>10984030.273834487</v>
      </c>
      <c r="O152" s="656">
        <f t="shared" si="8"/>
        <v>10271290.517338345</v>
      </c>
      <c r="P152" s="656">
        <f t="shared" si="8"/>
        <v>9641290.9188706614</v>
      </c>
      <c r="Q152" s="656">
        <f t="shared" si="8"/>
        <v>9818863.0137755759</v>
      </c>
      <c r="R152" s="656">
        <f t="shared" si="8"/>
        <v>10712792.480133547</v>
      </c>
      <c r="S152" s="666">
        <f t="shared" si="8"/>
        <v>7475160.3780452861</v>
      </c>
    </row>
    <row r="153" spans="3:19" x14ac:dyDescent="0.35">
      <c r="C153" s="237" t="s">
        <v>228</v>
      </c>
      <c r="D153" s="588"/>
      <c r="E153" s="588"/>
      <c r="F153" s="239" t="s">
        <v>670</v>
      </c>
      <c r="G153" s="597">
        <f>G105/G$31</f>
        <v>14116772.302160906</v>
      </c>
      <c r="H153" s="597">
        <f t="shared" ref="H153:S153" si="9">H105/H$31</f>
        <v>14041431.419453818</v>
      </c>
      <c r="I153" s="597">
        <f t="shared" si="9"/>
        <v>15364919.8970029</v>
      </c>
      <c r="J153" s="597">
        <f t="shared" si="9"/>
        <v>14844444.980276439</v>
      </c>
      <c r="K153" s="597">
        <f t="shared" si="9"/>
        <v>15459456.265452713</v>
      </c>
      <c r="L153" s="597">
        <f t="shared" si="9"/>
        <v>15195787.03486052</v>
      </c>
      <c r="M153" s="597">
        <f t="shared" si="9"/>
        <v>15935213.574440213</v>
      </c>
      <c r="N153" s="597">
        <f t="shared" si="9"/>
        <v>14942665.332781544</v>
      </c>
      <c r="O153" s="597">
        <f t="shared" si="9"/>
        <v>14963230.984328657</v>
      </c>
      <c r="P153" s="597">
        <f t="shared" si="9"/>
        <v>15303227.332042929</v>
      </c>
      <c r="Q153" s="597">
        <f t="shared" si="9"/>
        <v>13001930.071607795</v>
      </c>
      <c r="R153" s="597">
        <f t="shared" si="9"/>
        <v>10242355.804289766</v>
      </c>
      <c r="S153" s="667">
        <f t="shared" si="9"/>
        <v>10449216.848659992</v>
      </c>
    </row>
    <row r="154" spans="3:19" x14ac:dyDescent="0.35">
      <c r="C154" s="237" t="s">
        <v>565</v>
      </c>
      <c r="D154" s="588"/>
      <c r="E154" s="588"/>
      <c r="F154" s="239" t="s">
        <v>671</v>
      </c>
      <c r="G154" s="597">
        <f>G106/G$41</f>
        <v>134687687.24481943</v>
      </c>
      <c r="H154" s="597">
        <f t="shared" ref="H154:S154" si="10">H106/H$41</f>
        <v>131225029.15091717</v>
      </c>
      <c r="I154" s="597">
        <f t="shared" si="10"/>
        <v>149922785.10973942</v>
      </c>
      <c r="J154" s="597">
        <f t="shared" si="10"/>
        <v>149890995.81050119</v>
      </c>
      <c r="K154" s="597">
        <f t="shared" si="10"/>
        <v>183406827.02902448</v>
      </c>
      <c r="L154" s="597">
        <f t="shared" si="10"/>
        <v>188643063.23788321</v>
      </c>
      <c r="M154" s="597">
        <f t="shared" si="10"/>
        <v>164832423.43504256</v>
      </c>
      <c r="N154" s="597">
        <f t="shared" si="10"/>
        <v>137588678.13442525</v>
      </c>
      <c r="O154" s="597">
        <f t="shared" si="10"/>
        <v>135617670.14084619</v>
      </c>
      <c r="P154" s="597">
        <f t="shared" si="10"/>
        <v>156265628.1476599</v>
      </c>
      <c r="Q154" s="597">
        <f t="shared" si="10"/>
        <v>137841010.08345321</v>
      </c>
      <c r="R154" s="597">
        <f t="shared" si="10"/>
        <v>106043537.26989065</v>
      </c>
      <c r="S154" s="667">
        <f t="shared" si="10"/>
        <v>153301870.16029474</v>
      </c>
    </row>
    <row r="155" spans="3:19" x14ac:dyDescent="0.35">
      <c r="C155" s="237" t="s">
        <v>567</v>
      </c>
      <c r="D155" s="588"/>
      <c r="E155" s="588"/>
      <c r="F155" s="239" t="s">
        <v>669</v>
      </c>
      <c r="G155" s="597">
        <f>G107/G$85</f>
        <v>1947316.6977294455</v>
      </c>
      <c r="H155" s="597">
        <f t="shared" ref="H155:S155" si="11">H107/H$85</f>
        <v>1904606.5822031812</v>
      </c>
      <c r="I155" s="597">
        <f t="shared" si="11"/>
        <v>2056318.6813610177</v>
      </c>
      <c r="J155" s="597">
        <f t="shared" si="11"/>
        <v>1912575.8441575011</v>
      </c>
      <c r="K155" s="597">
        <f t="shared" si="11"/>
        <v>1963352.2066338439</v>
      </c>
      <c r="L155" s="597">
        <f t="shared" si="11"/>
        <v>1815723.6037025149</v>
      </c>
      <c r="M155" s="597">
        <f t="shared" si="11"/>
        <v>1792931.2936021646</v>
      </c>
      <c r="N155" s="597">
        <f t="shared" si="11"/>
        <v>1716604.9667813953</v>
      </c>
      <c r="O155" s="597">
        <f t="shared" si="11"/>
        <v>1727566.0648581425</v>
      </c>
      <c r="P155" s="597">
        <f t="shared" si="11"/>
        <v>1704986.9111343636</v>
      </c>
      <c r="Q155" s="597">
        <f t="shared" si="11"/>
        <v>1630760.7128467513</v>
      </c>
      <c r="R155" s="597" t="e">
        <f t="shared" si="11"/>
        <v>#DIV/0!</v>
      </c>
      <c r="S155" s="667" t="e">
        <f t="shared" si="11"/>
        <v>#DIV/0!</v>
      </c>
    </row>
    <row r="156" spans="3:19" x14ac:dyDescent="0.35">
      <c r="C156" s="237" t="s">
        <v>572</v>
      </c>
      <c r="D156" s="588"/>
      <c r="E156" s="588"/>
      <c r="F156" s="239" t="s">
        <v>671</v>
      </c>
      <c r="G156" s="597" t="e">
        <f>G108/G$58</f>
        <v>#DIV/0!</v>
      </c>
      <c r="H156" s="597" t="e">
        <f t="shared" ref="H156:S156" si="12">H108/H$58</f>
        <v>#DIV/0!</v>
      </c>
      <c r="I156" s="597" t="e">
        <f t="shared" si="12"/>
        <v>#DIV/0!</v>
      </c>
      <c r="J156" s="597">
        <f t="shared" si="12"/>
        <v>527169.72109995945</v>
      </c>
      <c r="K156" s="597">
        <f t="shared" si="12"/>
        <v>565187.94165767543</v>
      </c>
      <c r="L156" s="597">
        <f t="shared" si="12"/>
        <v>538185.73604206834</v>
      </c>
      <c r="M156" s="597">
        <f t="shared" si="12"/>
        <v>535834.6728523128</v>
      </c>
      <c r="N156" s="597">
        <f t="shared" si="12"/>
        <v>519984.58756838442</v>
      </c>
      <c r="O156" s="597">
        <f t="shared" si="12"/>
        <v>546444.82474333653</v>
      </c>
      <c r="P156" s="597" t="e">
        <f t="shared" si="12"/>
        <v>#DIV/0!</v>
      </c>
      <c r="Q156" s="597" t="e">
        <f t="shared" si="12"/>
        <v>#DIV/0!</v>
      </c>
      <c r="R156" s="597" t="e">
        <f t="shared" si="12"/>
        <v>#DIV/0!</v>
      </c>
      <c r="S156" s="667" t="e">
        <f t="shared" si="12"/>
        <v>#DIV/0!</v>
      </c>
    </row>
    <row r="157" spans="3:19" x14ac:dyDescent="0.35">
      <c r="C157" s="561" t="s">
        <v>484</v>
      </c>
      <c r="D157" s="555"/>
      <c r="E157" s="555"/>
      <c r="F157" s="606"/>
      <c r="G157" s="464"/>
      <c r="H157" s="555"/>
      <c r="I157" s="555"/>
      <c r="J157" s="555"/>
      <c r="K157" s="555"/>
      <c r="L157" s="555"/>
      <c r="M157" s="555"/>
      <c r="N157" s="555"/>
      <c r="O157" s="556"/>
      <c r="P157" s="556"/>
      <c r="Q157" s="556"/>
      <c r="R157" s="556"/>
      <c r="S157" s="377"/>
    </row>
    <row r="158" spans="3:19" x14ac:dyDescent="0.35">
      <c r="C158" s="587" t="s">
        <v>480</v>
      </c>
      <c r="D158" s="588"/>
      <c r="E158" s="104"/>
      <c r="F158" s="239" t="s">
        <v>668</v>
      </c>
      <c r="G158" s="656"/>
      <c r="H158" s="657"/>
      <c r="I158" s="657"/>
      <c r="J158" s="657"/>
      <c r="K158" s="657"/>
      <c r="L158" s="657"/>
      <c r="M158" s="657"/>
      <c r="N158" s="657"/>
      <c r="O158" s="657"/>
      <c r="P158" s="657"/>
      <c r="Q158" s="657"/>
      <c r="R158" s="657"/>
      <c r="S158" s="658"/>
    </row>
    <row r="159" spans="3:19" x14ac:dyDescent="0.35">
      <c r="C159" s="237" t="s">
        <v>564</v>
      </c>
      <c r="D159" s="588"/>
      <c r="E159" s="104"/>
      <c r="F159" s="239" t="s">
        <v>669</v>
      </c>
      <c r="G159" s="656">
        <f>G111/G$13</f>
        <v>1621641.0207375272</v>
      </c>
      <c r="H159" s="656">
        <f t="shared" ref="H159:S159" si="13">H111/H$13</f>
        <v>1750527.0911691212</v>
      </c>
      <c r="I159" s="656">
        <f t="shared" si="13"/>
        <v>1845234.8345262036</v>
      </c>
      <c r="J159" s="656">
        <f t="shared" si="13"/>
        <v>1804814.0461333499</v>
      </c>
      <c r="K159" s="656">
        <f t="shared" si="13"/>
        <v>1875455.2842778566</v>
      </c>
      <c r="L159" s="656">
        <f t="shared" si="13"/>
        <v>1987175.4506697739</v>
      </c>
      <c r="M159" s="656">
        <f t="shared" si="13"/>
        <v>2078025.8846658268</v>
      </c>
      <c r="N159" s="656">
        <f t="shared" si="13"/>
        <v>2234080.6762420624</v>
      </c>
      <c r="O159" s="656">
        <f t="shared" si="13"/>
        <v>2209764.1247507655</v>
      </c>
      <c r="P159" s="656">
        <f t="shared" si="13"/>
        <v>2209841.3519831062</v>
      </c>
      <c r="Q159" s="656">
        <f t="shared" si="13"/>
        <v>2267536.8127465476</v>
      </c>
      <c r="R159" s="656">
        <f t="shared" si="13"/>
        <v>2500325.1261422103</v>
      </c>
      <c r="S159" s="666">
        <f t="shared" si="13"/>
        <v>1919387.0260978334</v>
      </c>
    </row>
    <row r="160" spans="3:19" x14ac:dyDescent="0.35">
      <c r="C160" s="237" t="s">
        <v>228</v>
      </c>
      <c r="D160" s="588"/>
      <c r="E160" s="104"/>
      <c r="F160" s="239" t="s">
        <v>670</v>
      </c>
      <c r="G160" s="597">
        <f>G112/G$31</f>
        <v>1841771.8063950464</v>
      </c>
      <c r="H160" s="597">
        <f t="shared" ref="H160:R160" si="14">H112/H$31</f>
        <v>1919609.0671082521</v>
      </c>
      <c r="I160" s="597">
        <f t="shared" si="14"/>
        <v>2168856.5178001914</v>
      </c>
      <c r="J160" s="597">
        <f t="shared" si="14"/>
        <v>2323635.5741772475</v>
      </c>
      <c r="K160" s="597">
        <f t="shared" si="14"/>
        <v>2593264.5609528353</v>
      </c>
      <c r="L160" s="597">
        <f t="shared" si="14"/>
        <v>2742985.1051765447</v>
      </c>
      <c r="M160" s="597">
        <f t="shared" si="14"/>
        <v>3070667.1374526289</v>
      </c>
      <c r="N160" s="597">
        <f t="shared" si="14"/>
        <v>3039241.4295363622</v>
      </c>
      <c r="O160" s="597">
        <f>O112/O$31</f>
        <v>3233743.9658437292</v>
      </c>
      <c r="P160" s="597">
        <f t="shared" si="14"/>
        <v>3507590.9296498885</v>
      </c>
      <c r="Q160" s="597">
        <f t="shared" si="14"/>
        <v>3002624.136090314</v>
      </c>
      <c r="R160" s="597">
        <f t="shared" si="14"/>
        <v>2390526.990590502</v>
      </c>
      <c r="S160" s="667">
        <f>S112/S$31</f>
        <v>2683031.5655977186</v>
      </c>
    </row>
    <row r="161" spans="3:19" x14ac:dyDescent="0.35">
      <c r="C161" s="237" t="s">
        <v>565</v>
      </c>
      <c r="D161" s="588"/>
      <c r="E161" s="104"/>
      <c r="F161" s="239" t="s">
        <v>671</v>
      </c>
      <c r="G161" s="597">
        <f>G113/G$41</f>
        <v>17572287.752922818</v>
      </c>
      <c r="H161" s="597">
        <f t="shared" ref="H161:S161" si="15">H113/H$41</f>
        <v>17939820.255123511</v>
      </c>
      <c r="I161" s="597">
        <f t="shared" si="15"/>
        <v>21162558.075909145</v>
      </c>
      <c r="J161" s="597">
        <f t="shared" si="15"/>
        <v>23462786.960166115</v>
      </c>
      <c r="K161" s="597">
        <f t="shared" si="15"/>
        <v>30765792.57409269</v>
      </c>
      <c r="L161" s="597">
        <f t="shared" si="15"/>
        <v>34051879.739385955</v>
      </c>
      <c r="M161" s="597">
        <f t="shared" si="15"/>
        <v>31762706.126544233</v>
      </c>
      <c r="N161" s="597">
        <f t="shared" si="15"/>
        <v>27984646.748656627</v>
      </c>
      <c r="O161" s="597">
        <f t="shared" si="15"/>
        <v>29176768.163031526</v>
      </c>
      <c r="P161" s="597">
        <f t="shared" si="15"/>
        <v>35817013.497479193</v>
      </c>
      <c r="Q161" s="597">
        <f t="shared" si="15"/>
        <v>31832561.899670698</v>
      </c>
      <c r="R161" s="597">
        <f t="shared" si="15"/>
        <v>24750159.32518094</v>
      </c>
      <c r="S161" s="667">
        <f t="shared" si="15"/>
        <v>39363118.084584557</v>
      </c>
    </row>
    <row r="162" spans="3:19" x14ac:dyDescent="0.35">
      <c r="C162" s="237" t="s">
        <v>567</v>
      </c>
      <c r="D162" s="588"/>
      <c r="E162" s="104"/>
      <c r="F162" s="239" t="s">
        <v>669</v>
      </c>
      <c r="G162" s="597">
        <f>G114/G$85</f>
        <v>254060.41234024841</v>
      </c>
      <c r="H162" s="597">
        <f t="shared" ref="H162:S162" si="16">H114/H$85</f>
        <v>260379.44104515662</v>
      </c>
      <c r="I162" s="597">
        <f t="shared" si="16"/>
        <v>290262.50736354856</v>
      </c>
      <c r="J162" s="597">
        <f t="shared" si="16"/>
        <v>299379.95497314236</v>
      </c>
      <c r="K162" s="597">
        <f t="shared" si="16"/>
        <v>329344.81075573567</v>
      </c>
      <c r="L162" s="597">
        <f t="shared" si="16"/>
        <v>327755.50148523075</v>
      </c>
      <c r="M162" s="597">
        <f t="shared" si="16"/>
        <v>345492.40129453363</v>
      </c>
      <c r="N162" s="597">
        <f t="shared" si="16"/>
        <v>349146.34149935428</v>
      </c>
      <c r="O162" s="597">
        <f t="shared" si="16"/>
        <v>371668.34165738599</v>
      </c>
      <c r="P162" s="597">
        <f t="shared" si="16"/>
        <v>390793.16374948679</v>
      </c>
      <c r="Q162" s="597">
        <f t="shared" si="16"/>
        <v>376602.66203662183</v>
      </c>
      <c r="R162" s="597" t="e">
        <f t="shared" si="16"/>
        <v>#DIV/0!</v>
      </c>
      <c r="S162" s="667" t="e">
        <f t="shared" si="16"/>
        <v>#DIV/0!</v>
      </c>
    </row>
    <row r="163" spans="3:19" x14ac:dyDescent="0.35">
      <c r="C163" s="237" t="s">
        <v>572</v>
      </c>
      <c r="D163" s="588"/>
      <c r="E163" s="104"/>
      <c r="F163" s="239" t="s">
        <v>671</v>
      </c>
      <c r="G163" s="597" t="e">
        <f>G115/G$58</f>
        <v>#DIV/0!</v>
      </c>
      <c r="H163" s="597" t="e">
        <f t="shared" ref="H163:S163" si="17">H115/H$58</f>
        <v>#DIV/0!</v>
      </c>
      <c r="I163" s="597" t="e">
        <f t="shared" si="17"/>
        <v>#DIV/0!</v>
      </c>
      <c r="J163" s="597">
        <f t="shared" si="17"/>
        <v>82519.105241356912</v>
      </c>
      <c r="K163" s="597">
        <f t="shared" si="17"/>
        <v>94808.111890331595</v>
      </c>
      <c r="L163" s="597">
        <f t="shared" si="17"/>
        <v>97147.680103389866</v>
      </c>
      <c r="M163" s="597">
        <f t="shared" si="17"/>
        <v>103253.70998945505</v>
      </c>
      <c r="N163" s="597">
        <f t="shared" si="17"/>
        <v>105761.5001114418</v>
      </c>
      <c r="O163" s="597">
        <f t="shared" si="17"/>
        <v>117562.06952137248</v>
      </c>
      <c r="P163" s="597" t="e">
        <f t="shared" si="17"/>
        <v>#DIV/0!</v>
      </c>
      <c r="Q163" s="597" t="e">
        <f t="shared" si="17"/>
        <v>#DIV/0!</v>
      </c>
      <c r="R163" s="597" t="e">
        <f t="shared" si="17"/>
        <v>#DIV/0!</v>
      </c>
      <c r="S163" s="667" t="e">
        <f t="shared" si="17"/>
        <v>#DIV/0!</v>
      </c>
    </row>
    <row r="164" spans="3:19" x14ac:dyDescent="0.35">
      <c r="C164" s="561" t="s">
        <v>485</v>
      </c>
      <c r="D164" s="555"/>
      <c r="E164" s="555"/>
      <c r="F164" s="606"/>
      <c r="G164" s="464"/>
      <c r="H164" s="555"/>
      <c r="I164" s="555"/>
      <c r="J164" s="555"/>
      <c r="K164" s="555"/>
      <c r="L164" s="555"/>
      <c r="M164" s="555"/>
      <c r="N164" s="555"/>
      <c r="O164" s="556"/>
      <c r="P164" s="556"/>
      <c r="Q164" s="556"/>
      <c r="R164" s="556"/>
      <c r="S164" s="377"/>
    </row>
    <row r="165" spans="3:19" x14ac:dyDescent="0.35">
      <c r="C165" s="587" t="s">
        <v>480</v>
      </c>
      <c r="D165" s="588"/>
      <c r="E165" s="104"/>
      <c r="F165" s="239" t="s">
        <v>668</v>
      </c>
      <c r="G165" s="656"/>
      <c r="H165" s="657"/>
      <c r="I165" s="657"/>
      <c r="J165" s="657"/>
      <c r="K165" s="657"/>
      <c r="L165" s="657"/>
      <c r="M165" s="657"/>
      <c r="N165" s="657"/>
      <c r="O165" s="657"/>
      <c r="P165" s="657"/>
      <c r="Q165" s="657"/>
      <c r="R165" s="657"/>
      <c r="S165" s="658"/>
    </row>
    <row r="166" spans="3:19" x14ac:dyDescent="0.35">
      <c r="C166" s="237" t="s">
        <v>564</v>
      </c>
      <c r="D166" s="588"/>
      <c r="E166" s="104"/>
      <c r="F166" s="239" t="s">
        <v>669</v>
      </c>
      <c r="G166" s="656">
        <f>G118/G$13</f>
        <v>795542.35564776917</v>
      </c>
      <c r="H166" s="656">
        <f t="shared" ref="H166:S166" si="18">H118/H$13</f>
        <v>864647.79774841934</v>
      </c>
      <c r="I166" s="656">
        <f t="shared" si="18"/>
        <v>872864.66949341667</v>
      </c>
      <c r="J166" s="656">
        <f t="shared" si="18"/>
        <v>801415.1691574516</v>
      </c>
      <c r="K166" s="656">
        <f t="shared" si="18"/>
        <v>831887.39541182725</v>
      </c>
      <c r="L166" s="656">
        <f t="shared" si="18"/>
        <v>886403.62426733191</v>
      </c>
      <c r="M166" s="656">
        <f t="shared" si="18"/>
        <v>844488.30229281553</v>
      </c>
      <c r="N166" s="656">
        <f t="shared" si="18"/>
        <v>860937.94790904049</v>
      </c>
      <c r="O166" s="656">
        <f t="shared" si="18"/>
        <v>819640.7045353892</v>
      </c>
      <c r="P166" s="656">
        <f t="shared" si="18"/>
        <v>822898.09998464491</v>
      </c>
      <c r="Q166" s="656">
        <f t="shared" si="18"/>
        <v>878290.17279570503</v>
      </c>
      <c r="R166" s="656">
        <f t="shared" si="18"/>
        <v>953087.02646599093</v>
      </c>
      <c r="S166" s="666">
        <f t="shared" si="18"/>
        <v>719407.18783048284</v>
      </c>
    </row>
    <row r="167" spans="3:19" x14ac:dyDescent="0.35">
      <c r="C167" s="237" t="s">
        <v>228</v>
      </c>
      <c r="D167" s="588"/>
      <c r="E167" s="104"/>
      <c r="F167" s="239" t="s">
        <v>670</v>
      </c>
      <c r="G167" s="597">
        <f>G119/G$31</f>
        <v>903533.8047620313</v>
      </c>
      <c r="H167" s="597">
        <f t="shared" ref="H167:S167" si="19">H119/H$31</f>
        <v>948163.41934161668</v>
      </c>
      <c r="I167" s="597">
        <f t="shared" si="19"/>
        <v>1025949.7556441901</v>
      </c>
      <c r="J167" s="597">
        <f t="shared" si="19"/>
        <v>1031794.2730604955</v>
      </c>
      <c r="K167" s="597">
        <f t="shared" si="19"/>
        <v>1150282.877608313</v>
      </c>
      <c r="L167" s="597">
        <f t="shared" si="19"/>
        <v>1223541.6544222615</v>
      </c>
      <c r="M167" s="597">
        <f t="shared" si="19"/>
        <v>1247887.4767388764</v>
      </c>
      <c r="N167" s="597">
        <f t="shared" si="19"/>
        <v>1171219.2434995426</v>
      </c>
      <c r="O167" s="597">
        <f t="shared" si="19"/>
        <v>1194053.7720569766</v>
      </c>
      <c r="P167" s="597">
        <f t="shared" si="19"/>
        <v>1306152.5475310835</v>
      </c>
      <c r="Q167" s="597">
        <f t="shared" si="19"/>
        <v>1163013.2117383557</v>
      </c>
      <c r="R167" s="597">
        <f t="shared" si="19"/>
        <v>911233.59811367537</v>
      </c>
      <c r="S167" s="667">
        <f t="shared" si="19"/>
        <v>1005629.48859314</v>
      </c>
    </row>
    <row r="168" spans="3:19" x14ac:dyDescent="0.35">
      <c r="C168" s="237" t="s">
        <v>565</v>
      </c>
      <c r="D168" s="588"/>
      <c r="E168" s="104"/>
      <c r="F168" s="239" t="s">
        <v>671</v>
      </c>
      <c r="G168" s="597">
        <f>G120/G$41</f>
        <v>8620588.0427979957</v>
      </c>
      <c r="H168" s="597">
        <f t="shared" ref="H168:S168" si="20">H120/H$41</f>
        <v>8861117.4050641563</v>
      </c>
      <c r="I168" s="597">
        <f t="shared" si="20"/>
        <v>10010676.643933341</v>
      </c>
      <c r="J168" s="597">
        <f t="shared" si="20"/>
        <v>10418487.943880659</v>
      </c>
      <c r="K168" s="597">
        <f t="shared" si="20"/>
        <v>13646646.372641902</v>
      </c>
      <c r="L168" s="597">
        <f t="shared" si="20"/>
        <v>15189252.465822119</v>
      </c>
      <c r="M168" s="597">
        <f t="shared" si="20"/>
        <v>12908036.406555384</v>
      </c>
      <c r="N168" s="597">
        <f t="shared" si="20"/>
        <v>10784321.533667553</v>
      </c>
      <c r="O168" s="597">
        <f t="shared" si="20"/>
        <v>10822180.768234771</v>
      </c>
      <c r="P168" s="597">
        <f t="shared" si="20"/>
        <v>13337496.978120325</v>
      </c>
      <c r="Q168" s="597">
        <f t="shared" si="20"/>
        <v>12329778.345484689</v>
      </c>
      <c r="R168" s="597">
        <f t="shared" si="20"/>
        <v>9434395.354892157</v>
      </c>
      <c r="S168" s="667">
        <f t="shared" si="20"/>
        <v>14753725.903337846</v>
      </c>
    </row>
    <row r="169" spans="3:19" x14ac:dyDescent="0.35">
      <c r="C169" s="237" t="s">
        <v>567</v>
      </c>
      <c r="D169" s="588"/>
      <c r="E169" s="104"/>
      <c r="F169" s="239" t="s">
        <v>669</v>
      </c>
      <c r="G169" s="597">
        <f>G121/G$85</f>
        <v>124636.59732662774</v>
      </c>
      <c r="H169" s="597">
        <f t="shared" ref="H169:S169" si="21">H121/H$85</f>
        <v>128610.69755184282</v>
      </c>
      <c r="I169" s="597">
        <f t="shared" si="21"/>
        <v>137304.95588723739</v>
      </c>
      <c r="J169" s="597">
        <f t="shared" si="21"/>
        <v>132937.59419214091</v>
      </c>
      <c r="K169" s="597">
        <f t="shared" si="21"/>
        <v>146086.01927690592</v>
      </c>
      <c r="L169" s="597">
        <f t="shared" si="21"/>
        <v>146199.30227708127</v>
      </c>
      <c r="M169" s="597">
        <f t="shared" si="21"/>
        <v>140404.55105842353</v>
      </c>
      <c r="N169" s="597">
        <f t="shared" si="21"/>
        <v>134549.00620510711</v>
      </c>
      <c r="O169" s="597">
        <f t="shared" si="21"/>
        <v>137858.37954262141</v>
      </c>
      <c r="P169" s="597">
        <f t="shared" si="21"/>
        <v>145523.09451891339</v>
      </c>
      <c r="Q169" s="597">
        <f t="shared" si="21"/>
        <v>145870.36261379468</v>
      </c>
      <c r="R169" s="597" t="e">
        <f t="shared" si="21"/>
        <v>#DIV/0!</v>
      </c>
      <c r="S169" s="667" t="e">
        <f t="shared" si="21"/>
        <v>#DIV/0!</v>
      </c>
    </row>
    <row r="170" spans="3:19" x14ac:dyDescent="0.35">
      <c r="C170" s="237" t="s">
        <v>572</v>
      </c>
      <c r="D170" s="588"/>
      <c r="E170" s="104"/>
      <c r="F170" s="239" t="s">
        <v>671</v>
      </c>
      <c r="G170" s="597" t="e">
        <f>G122/G$58</f>
        <v>#DIV/0!</v>
      </c>
      <c r="H170" s="597" t="e">
        <f t="shared" ref="H170:S170" si="22">H122/H$58</f>
        <v>#DIV/0!</v>
      </c>
      <c r="I170" s="597" t="e">
        <f t="shared" si="22"/>
        <v>#DIV/0!</v>
      </c>
      <c r="J170" s="597">
        <f t="shared" si="22"/>
        <v>36642.036794541542</v>
      </c>
      <c r="K170" s="597">
        <f t="shared" si="22"/>
        <v>42053.614354623096</v>
      </c>
      <c r="L170" s="597">
        <f t="shared" si="22"/>
        <v>43333.896714446753</v>
      </c>
      <c r="M170" s="597">
        <f t="shared" si="22"/>
        <v>41961.243552291911</v>
      </c>
      <c r="N170" s="597">
        <f t="shared" si="22"/>
        <v>40756.849044005052</v>
      </c>
      <c r="O170" s="597">
        <f t="shared" si="22"/>
        <v>43605.856575304948</v>
      </c>
      <c r="P170" s="597" t="e">
        <f t="shared" si="22"/>
        <v>#DIV/0!</v>
      </c>
      <c r="Q170" s="597" t="e">
        <f t="shared" si="22"/>
        <v>#DIV/0!</v>
      </c>
      <c r="R170" s="597" t="e">
        <f t="shared" si="22"/>
        <v>#DIV/0!</v>
      </c>
      <c r="S170" s="667" t="e">
        <f t="shared" si="22"/>
        <v>#DIV/0!</v>
      </c>
    </row>
    <row r="171" spans="3:19" x14ac:dyDescent="0.35">
      <c r="C171" s="561" t="s">
        <v>486</v>
      </c>
      <c r="D171" s="555"/>
      <c r="E171" s="555"/>
      <c r="F171" s="606"/>
      <c r="G171" s="464"/>
      <c r="H171" s="555"/>
      <c r="I171" s="555"/>
      <c r="J171" s="555"/>
      <c r="K171" s="555"/>
      <c r="L171" s="555"/>
      <c r="M171" s="555"/>
      <c r="N171" s="555"/>
      <c r="O171" s="556"/>
      <c r="P171" s="556"/>
      <c r="Q171" s="556"/>
      <c r="R171" s="556"/>
      <c r="S171" s="377"/>
    </row>
    <row r="172" spans="3:19" x14ac:dyDescent="0.35">
      <c r="C172" s="587" t="s">
        <v>480</v>
      </c>
      <c r="D172" s="589"/>
      <c r="E172" s="104"/>
      <c r="F172" s="239" t="s">
        <v>668</v>
      </c>
      <c r="G172" s="656"/>
      <c r="H172" s="657"/>
      <c r="I172" s="657"/>
      <c r="J172" s="657"/>
      <c r="K172" s="657"/>
      <c r="L172" s="657"/>
      <c r="M172" s="657"/>
      <c r="N172" s="657"/>
      <c r="O172" s="657"/>
      <c r="P172" s="657"/>
      <c r="Q172" s="657"/>
      <c r="R172" s="657"/>
      <c r="S172" s="658"/>
    </row>
    <row r="173" spans="3:19" x14ac:dyDescent="0.35">
      <c r="C173" s="237" t="s">
        <v>564</v>
      </c>
      <c r="D173" s="589"/>
      <c r="E173" s="104"/>
      <c r="F173" s="239" t="s">
        <v>669</v>
      </c>
      <c r="G173" s="656">
        <f>G125/G$13</f>
        <v>676206.00899454323</v>
      </c>
      <c r="H173" s="656">
        <f t="shared" ref="H173:S173" si="23">H125/H$13</f>
        <v>711896.84060444485</v>
      </c>
      <c r="I173" s="656">
        <f t="shared" si="23"/>
        <v>745092.85441128141</v>
      </c>
      <c r="J173" s="656">
        <f t="shared" si="23"/>
        <v>643976.66897689272</v>
      </c>
      <c r="K173" s="656">
        <f t="shared" si="23"/>
        <v>651289.95878565568</v>
      </c>
      <c r="L173" s="656">
        <f t="shared" si="23"/>
        <v>733105.72460002103</v>
      </c>
      <c r="M173" s="656">
        <f t="shared" si="23"/>
        <v>795243.53424841119</v>
      </c>
      <c r="N173" s="656">
        <f t="shared" si="23"/>
        <v>825603.69380276836</v>
      </c>
      <c r="O173" s="656">
        <f t="shared" si="23"/>
        <v>794931.34621789341</v>
      </c>
      <c r="P173" s="656">
        <f t="shared" si="23"/>
        <v>746723.68615771807</v>
      </c>
      <c r="Q173" s="656">
        <f t="shared" si="23"/>
        <v>776377.36168401164</v>
      </c>
      <c r="R173" s="656">
        <f t="shared" si="23"/>
        <v>914083.34813300928</v>
      </c>
      <c r="S173" s="666">
        <f t="shared" si="23"/>
        <v>796459.6433203842</v>
      </c>
    </row>
    <row r="174" spans="3:19" x14ac:dyDescent="0.35">
      <c r="C174" s="237" t="s">
        <v>228</v>
      </c>
      <c r="D174" s="588"/>
      <c r="E174" s="104"/>
      <c r="F174" s="239" t="s">
        <v>670</v>
      </c>
      <c r="G174" s="597">
        <f>G126/G$31</f>
        <v>767998.06292186992</v>
      </c>
      <c r="H174" s="597">
        <f t="shared" ref="H174:S174" si="24">H126/H$31</f>
        <v>780658.37253471243</v>
      </c>
      <c r="I174" s="597">
        <f t="shared" si="24"/>
        <v>875769.01509730751</v>
      </c>
      <c r="J174" s="597">
        <f t="shared" si="24"/>
        <v>829097.65700278315</v>
      </c>
      <c r="K174" s="597">
        <f t="shared" si="24"/>
        <v>900563.81678735116</v>
      </c>
      <c r="L174" s="597">
        <f t="shared" si="24"/>
        <v>1011937.8650837027</v>
      </c>
      <c r="M174" s="597">
        <f t="shared" si="24"/>
        <v>1175119.2345137575</v>
      </c>
      <c r="N174" s="597">
        <f t="shared" si="24"/>
        <v>1123150.5546184469</v>
      </c>
      <c r="O174" s="597">
        <f t="shared" si="24"/>
        <v>1158057.1428743913</v>
      </c>
      <c r="P174" s="597">
        <f t="shared" si="24"/>
        <v>1185244.011372616</v>
      </c>
      <c r="Q174" s="597">
        <f t="shared" si="24"/>
        <v>1028062.4295942126</v>
      </c>
      <c r="R174" s="597">
        <f t="shared" si="24"/>
        <v>873942.70949585678</v>
      </c>
      <c r="S174" s="667">
        <f t="shared" si="24"/>
        <v>1113337.9223145635</v>
      </c>
    </row>
    <row r="175" spans="3:19" x14ac:dyDescent="0.35">
      <c r="C175" s="237" t="s">
        <v>565</v>
      </c>
      <c r="D175" s="588"/>
      <c r="E175" s="104"/>
      <c r="F175" s="239" t="s">
        <v>671</v>
      </c>
      <c r="G175" s="597">
        <f>G127/G$41</f>
        <v>7327445.728342169</v>
      </c>
      <c r="H175" s="597">
        <f t="shared" ref="H175:S175" si="25">H127/H$41</f>
        <v>7295689.067059515</v>
      </c>
      <c r="I175" s="597">
        <f t="shared" si="25"/>
        <v>8545292.1809122395</v>
      </c>
      <c r="J175" s="597">
        <f t="shared" si="25"/>
        <v>8371769.6146552879</v>
      </c>
      <c r="K175" s="597">
        <f t="shared" si="25"/>
        <v>10684046.666196188</v>
      </c>
      <c r="L175" s="597">
        <f t="shared" si="25"/>
        <v>12562367.334963487</v>
      </c>
      <c r="M175" s="597">
        <f t="shared" si="25"/>
        <v>12155328.219806409</v>
      </c>
      <c r="N175" s="597">
        <f t="shared" si="25"/>
        <v>10341715.933159614</v>
      </c>
      <c r="O175" s="597">
        <f t="shared" si="25"/>
        <v>10495929.105891323</v>
      </c>
      <c r="P175" s="597">
        <f t="shared" si="25"/>
        <v>12102865.358183809</v>
      </c>
      <c r="Q175" s="597">
        <f t="shared" si="25"/>
        <v>10899086.746633438</v>
      </c>
      <c r="R175" s="597">
        <f t="shared" si="25"/>
        <v>9048306.6646989547</v>
      </c>
      <c r="S175" s="667">
        <f t="shared" si="25"/>
        <v>16333930.866128704</v>
      </c>
    </row>
    <row r="176" spans="3:19" x14ac:dyDescent="0.35">
      <c r="C176" s="237" t="s">
        <v>567</v>
      </c>
      <c r="D176" s="588"/>
      <c r="E176" s="104"/>
      <c r="F176" s="239" t="s">
        <v>669</v>
      </c>
      <c r="G176" s="597">
        <f>G128/G$85</f>
        <v>105940.32543279737</v>
      </c>
      <c r="H176" s="597">
        <f t="shared" ref="H176:S176" si="26">H128/H$85</f>
        <v>105889.9930046784</v>
      </c>
      <c r="I176" s="597">
        <f t="shared" si="26"/>
        <v>117205.95996423064</v>
      </c>
      <c r="J176" s="597">
        <f t="shared" si="26"/>
        <v>106821.92249949479</v>
      </c>
      <c r="K176" s="597">
        <f t="shared" si="26"/>
        <v>114371.67818478028</v>
      </c>
      <c r="L176" s="597">
        <f t="shared" si="26"/>
        <v>120915.05776552726</v>
      </c>
      <c r="M176" s="597">
        <f t="shared" si="26"/>
        <v>132217.12024324408</v>
      </c>
      <c r="N176" s="597">
        <f t="shared" si="26"/>
        <v>129026.90233392321</v>
      </c>
      <c r="O176" s="597">
        <f t="shared" si="26"/>
        <v>133702.42184269376</v>
      </c>
      <c r="P176" s="597">
        <f t="shared" si="26"/>
        <v>132052.24506201764</v>
      </c>
      <c r="Q176" s="597">
        <f t="shared" si="26"/>
        <v>128944.22684190804</v>
      </c>
      <c r="R176" s="597" t="e">
        <f t="shared" si="26"/>
        <v>#DIV/0!</v>
      </c>
      <c r="S176" s="667" t="e">
        <f t="shared" si="26"/>
        <v>#DIV/0!</v>
      </c>
    </row>
    <row r="177" spans="3:19" x14ac:dyDescent="0.35">
      <c r="C177" s="237" t="s">
        <v>572</v>
      </c>
      <c r="D177" s="588"/>
      <c r="E177" s="104"/>
      <c r="F177" s="239" t="s">
        <v>671</v>
      </c>
      <c r="G177" s="597" t="e">
        <f>G129/G$58</f>
        <v>#DIV/0!</v>
      </c>
      <c r="H177" s="597" t="e">
        <f t="shared" ref="H177:S177" si="27">H129/H$58</f>
        <v>#DIV/0!</v>
      </c>
      <c r="I177" s="597" t="e">
        <f t="shared" si="27"/>
        <v>#DIV/0!</v>
      </c>
      <c r="J177" s="597">
        <f t="shared" si="27"/>
        <v>29443.686253512427</v>
      </c>
      <c r="K177" s="597">
        <f t="shared" si="27"/>
        <v>32924.043459333006</v>
      </c>
      <c r="L177" s="597">
        <f t="shared" si="27"/>
        <v>35839.573396200249</v>
      </c>
      <c r="M177" s="597">
        <f t="shared" si="27"/>
        <v>39514.351511304369</v>
      </c>
      <c r="N177" s="597">
        <f t="shared" si="27"/>
        <v>39084.123542487258</v>
      </c>
      <c r="O177" s="597">
        <f t="shared" si="27"/>
        <v>42291.289437657353</v>
      </c>
      <c r="P177" s="597" t="e">
        <f t="shared" si="27"/>
        <v>#DIV/0!</v>
      </c>
      <c r="Q177" s="597" t="e">
        <f t="shared" si="27"/>
        <v>#DIV/0!</v>
      </c>
      <c r="R177" s="597" t="e">
        <f t="shared" si="27"/>
        <v>#DIV/0!</v>
      </c>
      <c r="S177" s="667" t="e">
        <f t="shared" si="27"/>
        <v>#DIV/0!</v>
      </c>
    </row>
    <row r="178" spans="3:19" x14ac:dyDescent="0.35">
      <c r="C178" s="561" t="s">
        <v>487</v>
      </c>
      <c r="D178" s="555"/>
      <c r="E178" s="555"/>
      <c r="F178" s="606"/>
      <c r="G178" s="464"/>
      <c r="H178" s="555"/>
      <c r="I178" s="555"/>
      <c r="J178" s="555"/>
      <c r="K178" s="555"/>
      <c r="L178" s="555"/>
      <c r="M178" s="555"/>
      <c r="N178" s="555"/>
      <c r="O178" s="556"/>
      <c r="P178" s="556"/>
      <c r="Q178" s="556"/>
      <c r="R178" s="556"/>
      <c r="S178" s="377"/>
    </row>
    <row r="179" spans="3:19" x14ac:dyDescent="0.35">
      <c r="C179" s="587" t="s">
        <v>480</v>
      </c>
      <c r="D179" s="588"/>
      <c r="E179" s="104"/>
      <c r="F179" s="239" t="s">
        <v>668</v>
      </c>
      <c r="G179" s="656"/>
      <c r="H179" s="657"/>
      <c r="I179" s="657"/>
      <c r="J179" s="657"/>
      <c r="K179" s="657"/>
      <c r="L179" s="657"/>
      <c r="M179" s="657"/>
      <c r="N179" s="657"/>
      <c r="O179" s="657"/>
      <c r="P179" s="657"/>
      <c r="Q179" s="657"/>
      <c r="R179" s="657"/>
      <c r="S179" s="658"/>
    </row>
    <row r="180" spans="3:19" x14ac:dyDescent="0.35">
      <c r="C180" s="237" t="s">
        <v>564</v>
      </c>
      <c r="D180" s="588"/>
      <c r="E180" s="104"/>
      <c r="F180" s="239" t="s">
        <v>669</v>
      </c>
      <c r="G180" s="656">
        <f>G132/G$13</f>
        <v>52394.216594704601</v>
      </c>
      <c r="H180" s="656">
        <f t="shared" ref="H180:S180" si="28">H132/H$13</f>
        <v>51859.917825496952</v>
      </c>
      <c r="I180" s="656">
        <f t="shared" si="28"/>
        <v>83535.437761900524</v>
      </c>
      <c r="J180" s="656">
        <f t="shared" si="28"/>
        <v>110414.99882384182</v>
      </c>
      <c r="K180" s="656">
        <f t="shared" si="28"/>
        <v>168273.91636047271</v>
      </c>
      <c r="L180" s="656">
        <f t="shared" si="28"/>
        <v>315261.8439765895</v>
      </c>
      <c r="M180" s="656">
        <f t="shared" si="28"/>
        <v>316733.29895821598</v>
      </c>
      <c r="N180" s="656">
        <f t="shared" si="28"/>
        <v>342961.44113002991</v>
      </c>
      <c r="O180" s="656">
        <f t="shared" si="28"/>
        <v>340420.85720392293</v>
      </c>
      <c r="P180" s="656">
        <f t="shared" si="28"/>
        <v>331448.54521914071</v>
      </c>
      <c r="Q180" s="656">
        <f t="shared" si="28"/>
        <v>340746.13052503933</v>
      </c>
      <c r="R180" s="656">
        <f t="shared" si="28"/>
        <v>335139.44923329144</v>
      </c>
      <c r="S180" s="666">
        <f t="shared" si="28"/>
        <v>350191.06347248366</v>
      </c>
    </row>
    <row r="181" spans="3:19" x14ac:dyDescent="0.35">
      <c r="C181" s="237" t="s">
        <v>228</v>
      </c>
      <c r="D181" s="588"/>
      <c r="E181" s="104"/>
      <c r="F181" s="239" t="s">
        <v>670</v>
      </c>
      <c r="G181" s="597">
        <f>G133/G$31</f>
        <v>59506.505884017861</v>
      </c>
      <c r="H181" s="597">
        <f t="shared" ref="H181:S181" si="29">H133/H$31</f>
        <v>56869.024752325327</v>
      </c>
      <c r="I181" s="597">
        <f t="shared" si="29"/>
        <v>98186.081937755283</v>
      </c>
      <c r="J181" s="597">
        <f t="shared" si="29"/>
        <v>142155.48673254362</v>
      </c>
      <c r="K181" s="597">
        <f t="shared" si="29"/>
        <v>232678.85269703079</v>
      </c>
      <c r="L181" s="597">
        <f t="shared" si="29"/>
        <v>435169.69876354473</v>
      </c>
      <c r="M181" s="597">
        <f t="shared" si="29"/>
        <v>468031.96226997743</v>
      </c>
      <c r="N181" s="597">
        <f t="shared" si="29"/>
        <v>466564.44939544587</v>
      </c>
      <c r="O181" s="597">
        <f t="shared" si="29"/>
        <v>495925.60054911615</v>
      </c>
      <c r="P181" s="597">
        <f t="shared" si="29"/>
        <v>526094.73970292346</v>
      </c>
      <c r="Q181" s="597">
        <f t="shared" si="29"/>
        <v>451208.79627731262</v>
      </c>
      <c r="R181" s="597">
        <f t="shared" si="29"/>
        <v>320422.2885365074</v>
      </c>
      <c r="S181" s="667">
        <f t="shared" si="29"/>
        <v>489517.57228300482</v>
      </c>
    </row>
    <row r="182" spans="3:19" x14ac:dyDescent="0.35">
      <c r="C182" s="237" t="s">
        <v>565</v>
      </c>
      <c r="D182" s="588"/>
      <c r="E182" s="104"/>
      <c r="F182" s="239" t="s">
        <v>671</v>
      </c>
      <c r="G182" s="597">
        <f>G134/G$41</f>
        <v>567749.7293281235</v>
      </c>
      <c r="H182" s="597">
        <f t="shared" ref="H182:S182" si="30">H134/H$41</f>
        <v>531472.83976824081</v>
      </c>
      <c r="I182" s="597">
        <f t="shared" si="30"/>
        <v>958048.0055735741</v>
      </c>
      <c r="J182" s="597">
        <f t="shared" si="30"/>
        <v>1435407.4870821238</v>
      </c>
      <c r="K182" s="597">
        <f t="shared" si="30"/>
        <v>2760439.2649489152</v>
      </c>
      <c r="L182" s="597">
        <f t="shared" si="30"/>
        <v>5402270.0380530488</v>
      </c>
      <c r="M182" s="597">
        <f>M134/M$41</f>
        <v>4841280.741273595</v>
      </c>
      <c r="N182" s="597">
        <f t="shared" si="30"/>
        <v>4296019.7814244824</v>
      </c>
      <c r="O182" s="597">
        <f t="shared" si="30"/>
        <v>4494769.5173662817</v>
      </c>
      <c r="P182" s="597">
        <f t="shared" si="30"/>
        <v>5372103.7517830655</v>
      </c>
      <c r="Q182" s="597">
        <f t="shared" si="30"/>
        <v>4783526.4376031905</v>
      </c>
      <c r="R182" s="597">
        <f t="shared" si="30"/>
        <v>3317470.4673209661</v>
      </c>
      <c r="S182" s="667">
        <f t="shared" si="30"/>
        <v>7181778.3470476577</v>
      </c>
    </row>
    <row r="183" spans="3:19" x14ac:dyDescent="0.35">
      <c r="C183" s="237" t="s">
        <v>567</v>
      </c>
      <c r="D183" s="588"/>
      <c r="E183" s="104"/>
      <c r="F183" s="239" t="s">
        <v>669</v>
      </c>
      <c r="G183" s="597">
        <f>G135/G$85</f>
        <v>8208.5345042893132</v>
      </c>
      <c r="H183" s="597">
        <f t="shared" ref="H183:S183" si="31">H135/H$85</f>
        <v>7713.8231588476901</v>
      </c>
      <c r="I183" s="597">
        <f t="shared" si="31"/>
        <v>13140.444329790031</v>
      </c>
      <c r="J183" s="597">
        <f t="shared" si="31"/>
        <v>18315.481003187495</v>
      </c>
      <c r="K183" s="597">
        <f t="shared" si="31"/>
        <v>29550.23327053403</v>
      </c>
      <c r="L183" s="597">
        <f t="shared" si="31"/>
        <v>51997.826229626015</v>
      </c>
      <c r="M183" s="597">
        <f t="shared" si="31"/>
        <v>52660.050500098085</v>
      </c>
      <c r="N183" s="597">
        <f t="shared" si="31"/>
        <v>53598.660835881972</v>
      </c>
      <c r="O183" s="597">
        <f t="shared" si="31"/>
        <v>57256.633884776355</v>
      </c>
      <c r="P183" s="597">
        <f t="shared" si="31"/>
        <v>58614.083535958307</v>
      </c>
      <c r="Q183" s="597">
        <f t="shared" si="31"/>
        <v>56592.642339055856</v>
      </c>
      <c r="R183" s="597" t="e">
        <f t="shared" si="31"/>
        <v>#DIV/0!</v>
      </c>
      <c r="S183" s="667" t="e">
        <f t="shared" si="31"/>
        <v>#DIV/0!</v>
      </c>
    </row>
    <row r="184" spans="3:19" x14ac:dyDescent="0.35">
      <c r="C184" s="238" t="s">
        <v>572</v>
      </c>
      <c r="D184" s="605"/>
      <c r="E184" s="567"/>
      <c r="F184" s="568" t="s">
        <v>671</v>
      </c>
      <c r="G184" s="668" t="e">
        <f>G136/G$58</f>
        <v>#DIV/0!</v>
      </c>
      <c r="H184" s="668" t="e">
        <f t="shared" ref="H184:S184" si="32">H136/H$58</f>
        <v>#DIV/0!</v>
      </c>
      <c r="I184" s="668" t="e">
        <f t="shared" si="32"/>
        <v>#DIV/0!</v>
      </c>
      <c r="J184" s="668">
        <f t="shared" si="32"/>
        <v>5048.357711803681</v>
      </c>
      <c r="K184" s="668">
        <f t="shared" si="32"/>
        <v>8506.5916656450572</v>
      </c>
      <c r="L184" s="668">
        <f t="shared" si="32"/>
        <v>15412.306325100666</v>
      </c>
      <c r="M184" s="668">
        <f t="shared" si="32"/>
        <v>15737.959972473682</v>
      </c>
      <c r="N184" s="668">
        <f t="shared" si="32"/>
        <v>16235.813182587066</v>
      </c>
      <c r="O184" s="668">
        <f t="shared" si="32"/>
        <v>18110.792927116887</v>
      </c>
      <c r="P184" s="668" t="e">
        <f t="shared" si="32"/>
        <v>#DIV/0!</v>
      </c>
      <c r="Q184" s="668" t="e">
        <f t="shared" si="32"/>
        <v>#DIV/0!</v>
      </c>
      <c r="R184" s="668" t="e">
        <f t="shared" si="32"/>
        <v>#DIV/0!</v>
      </c>
      <c r="S184" s="669" t="e">
        <f t="shared" si="32"/>
        <v>#DIV/0!</v>
      </c>
    </row>
    <row r="185" spans="3:19" x14ac:dyDescent="0.35">
      <c r="C185" s="688"/>
      <c r="D185" s="689"/>
      <c r="E185" s="688"/>
      <c r="F185" s="688"/>
      <c r="G185" s="690"/>
      <c r="H185" s="690"/>
      <c r="I185" s="690"/>
      <c r="J185" s="690"/>
      <c r="K185" s="690"/>
      <c r="L185" s="690"/>
      <c r="M185" s="690"/>
      <c r="N185" s="690"/>
      <c r="O185" s="690"/>
      <c r="P185" s="690"/>
      <c r="Q185" s="690"/>
      <c r="R185" s="690"/>
      <c r="S185" s="690"/>
    </row>
    <row r="186" spans="3:19" x14ac:dyDescent="0.35">
      <c r="C186" s="679" t="s">
        <v>480</v>
      </c>
      <c r="D186" s="603"/>
      <c r="E186" s="564"/>
      <c r="F186" s="565" t="s">
        <v>668</v>
      </c>
      <c r="G186" s="676">
        <v>1153085358.1243534</v>
      </c>
      <c r="H186" s="677">
        <v>1223938718.0244784</v>
      </c>
      <c r="I186" s="677">
        <v>1328574527.5028605</v>
      </c>
      <c r="J186" s="677">
        <v>1173895269.2711358</v>
      </c>
      <c r="K186" s="677">
        <v>1221760923.1981277</v>
      </c>
      <c r="L186" s="677">
        <v>1201437211.902519</v>
      </c>
      <c r="M186" s="677">
        <v>1256054948.1283584</v>
      </c>
      <c r="N186" s="677">
        <v>1250567338.3578963</v>
      </c>
      <c r="O186" s="677">
        <v>1281155010.312408</v>
      </c>
      <c r="P186" s="677">
        <v>1221387105.0332799</v>
      </c>
      <c r="Q186" s="677">
        <v>1276363554.0784986</v>
      </c>
      <c r="R186" s="677">
        <v>1674104680.0659182</v>
      </c>
      <c r="S186" s="678">
        <v>2027646992.6461322</v>
      </c>
    </row>
    <row r="187" spans="3:19" x14ac:dyDescent="0.35">
      <c r="C187" s="237" t="s">
        <v>662</v>
      </c>
      <c r="D187" s="588"/>
      <c r="E187" s="104"/>
      <c r="F187" s="239" t="s">
        <v>669</v>
      </c>
      <c r="G187" s="680">
        <f>G180+G173+G166+G159+G152</f>
        <v>15575302.267700732</v>
      </c>
      <c r="H187" s="680">
        <f t="shared" ref="H187:S187" si="33">H180+H173+H166+H159+H152</f>
        <v>16183573.238030836</v>
      </c>
      <c r="I187" s="680">
        <f t="shared" si="33"/>
        <v>16619001.222749863</v>
      </c>
      <c r="J187" s="680">
        <f t="shared" si="33"/>
        <v>14890597.057149265</v>
      </c>
      <c r="K187" s="680">
        <f t="shared" si="33"/>
        <v>14707223.203459084</v>
      </c>
      <c r="L187" s="680">
        <f t="shared" si="33"/>
        <v>14930644.755761515</v>
      </c>
      <c r="M187" s="680">
        <f t="shared" si="33"/>
        <v>14818397.188788816</v>
      </c>
      <c r="N187" s="680">
        <f t="shared" si="33"/>
        <v>15247614.032918388</v>
      </c>
      <c r="O187" s="680">
        <f t="shared" si="33"/>
        <v>14436047.550046315</v>
      </c>
      <c r="P187" s="680">
        <f t="shared" si="33"/>
        <v>13752202.602215271</v>
      </c>
      <c r="Q187" s="680">
        <f t="shared" si="33"/>
        <v>14081813.491526879</v>
      </c>
      <c r="R187" s="680">
        <f t="shared" si="33"/>
        <v>15415427.430108048</v>
      </c>
      <c r="S187" s="681">
        <f t="shared" si="33"/>
        <v>11260605.29876647</v>
      </c>
    </row>
    <row r="188" spans="3:19" x14ac:dyDescent="0.35">
      <c r="C188" s="237" t="s">
        <v>663</v>
      </c>
      <c r="D188" s="588"/>
      <c r="E188" s="104"/>
      <c r="F188" s="239" t="s">
        <v>670</v>
      </c>
      <c r="G188" s="680">
        <f t="shared" ref="G188:S188" si="34">G181+G174+G167+G160+G153</f>
        <v>17689582.48212387</v>
      </c>
      <c r="H188" s="680">
        <f t="shared" si="34"/>
        <v>17746731.303190723</v>
      </c>
      <c r="I188" s="680">
        <f t="shared" si="34"/>
        <v>19533681.267482344</v>
      </c>
      <c r="J188" s="680">
        <f t="shared" si="34"/>
        <v>19171127.97124951</v>
      </c>
      <c r="K188" s="680">
        <f t="shared" si="34"/>
        <v>20336246.373498242</v>
      </c>
      <c r="L188" s="680">
        <f t="shared" si="34"/>
        <v>20609421.358306572</v>
      </c>
      <c r="M188" s="680">
        <f t="shared" si="34"/>
        <v>21896919.385415453</v>
      </c>
      <c r="N188" s="680">
        <f t="shared" si="34"/>
        <v>20742841.009831339</v>
      </c>
      <c r="O188" s="680">
        <f>O181+O174+O167+O160+O153</f>
        <v>21045011.465652868</v>
      </c>
      <c r="P188" s="680">
        <f t="shared" si="34"/>
        <v>21828309.560299441</v>
      </c>
      <c r="Q188" s="680">
        <f t="shared" si="34"/>
        <v>18646838.645307988</v>
      </c>
      <c r="R188" s="680">
        <f t="shared" si="34"/>
        <v>14738481.391026307</v>
      </c>
      <c r="S188" s="681">
        <f t="shared" si="34"/>
        <v>15740733.397448419</v>
      </c>
    </row>
    <row r="189" spans="3:19" x14ac:dyDescent="0.35">
      <c r="C189" s="237" t="s">
        <v>664</v>
      </c>
      <c r="D189" s="588"/>
      <c r="E189" s="104"/>
      <c r="F189" s="239" t="s">
        <v>671</v>
      </c>
      <c r="G189" s="680">
        <f t="shared" ref="G189:S189" si="35">G182+G175+G168+G161+G154</f>
        <v>168775758.49821055</v>
      </c>
      <c r="H189" s="680">
        <f t="shared" si="35"/>
        <v>165853128.71793258</v>
      </c>
      <c r="I189" s="680">
        <f t="shared" si="35"/>
        <v>190599360.01606771</v>
      </c>
      <c r="J189" s="680">
        <f t="shared" si="35"/>
        <v>193579447.81628537</v>
      </c>
      <c r="K189" s="680">
        <f t="shared" si="35"/>
        <v>241263751.90690416</v>
      </c>
      <c r="L189" s="680">
        <f t="shared" si="35"/>
        <v>255848832.81610781</v>
      </c>
      <c r="M189" s="680">
        <f>M182+M175+M168+M161+M154</f>
        <v>226499774.92922217</v>
      </c>
      <c r="N189" s="680">
        <f t="shared" si="35"/>
        <v>190995382.13133353</v>
      </c>
      <c r="O189" s="680">
        <f t="shared" si="35"/>
        <v>190607317.69537008</v>
      </c>
      <c r="P189" s="680">
        <f t="shared" si="35"/>
        <v>222895107.7332263</v>
      </c>
      <c r="Q189" s="680">
        <f t="shared" si="35"/>
        <v>197685963.51284522</v>
      </c>
      <c r="R189" s="680">
        <f t="shared" si="35"/>
        <v>152593869.08198369</v>
      </c>
      <c r="S189" s="681">
        <f t="shared" si="35"/>
        <v>230934423.36139351</v>
      </c>
    </row>
    <row r="190" spans="3:19" x14ac:dyDescent="0.35">
      <c r="C190" s="237" t="s">
        <v>665</v>
      </c>
      <c r="D190" s="588"/>
      <c r="E190" s="104"/>
      <c r="F190" s="239" t="s">
        <v>669</v>
      </c>
      <c r="G190" s="680">
        <f t="shared" ref="G190:S190" si="36">G183+G176+G169+G162+G155</f>
        <v>2440162.5673334086</v>
      </c>
      <c r="H190" s="680">
        <f t="shared" si="36"/>
        <v>2407200.5369637068</v>
      </c>
      <c r="I190" s="680">
        <f t="shared" si="36"/>
        <v>2614232.5489058243</v>
      </c>
      <c r="J190" s="680">
        <f t="shared" si="36"/>
        <v>2470030.7968254667</v>
      </c>
      <c r="K190" s="680">
        <f t="shared" si="36"/>
        <v>2582704.9481218001</v>
      </c>
      <c r="L190" s="680">
        <f t="shared" si="36"/>
        <v>2462591.2914599804</v>
      </c>
      <c r="M190" s="680">
        <f t="shared" si="36"/>
        <v>2463705.4166984642</v>
      </c>
      <c r="N190" s="680">
        <f t="shared" si="36"/>
        <v>2382925.8776556617</v>
      </c>
      <c r="O190" s="680">
        <f t="shared" si="36"/>
        <v>2428051.84178562</v>
      </c>
      <c r="P190" s="680">
        <f t="shared" si="36"/>
        <v>2431969.4980007396</v>
      </c>
      <c r="Q190" s="680">
        <f t="shared" si="36"/>
        <v>2338770.606678132</v>
      </c>
      <c r="R190" s="680" t="e">
        <f t="shared" si="36"/>
        <v>#DIV/0!</v>
      </c>
      <c r="S190" s="681" t="e">
        <f t="shared" si="36"/>
        <v>#DIV/0!</v>
      </c>
    </row>
    <row r="191" spans="3:19" x14ac:dyDescent="0.35">
      <c r="C191" s="238" t="s">
        <v>666</v>
      </c>
      <c r="D191" s="605"/>
      <c r="E191" s="567"/>
      <c r="F191" s="568" t="s">
        <v>671</v>
      </c>
      <c r="G191" s="686" t="e">
        <f t="shared" ref="G191:S191" si="37">G184+G177+G170+G163+G156</f>
        <v>#DIV/0!</v>
      </c>
      <c r="H191" s="686" t="e">
        <f t="shared" si="37"/>
        <v>#DIV/0!</v>
      </c>
      <c r="I191" s="686" t="e">
        <f t="shared" si="37"/>
        <v>#DIV/0!</v>
      </c>
      <c r="J191" s="686">
        <f t="shared" si="37"/>
        <v>680822.907101174</v>
      </c>
      <c r="K191" s="686">
        <f t="shared" si="37"/>
        <v>743480.3030276082</v>
      </c>
      <c r="L191" s="686">
        <f t="shared" si="37"/>
        <v>729919.19258120586</v>
      </c>
      <c r="M191" s="686">
        <f t="shared" si="37"/>
        <v>736301.9378778378</v>
      </c>
      <c r="N191" s="686">
        <f t="shared" si="37"/>
        <v>721822.87344890554</v>
      </c>
      <c r="O191" s="686">
        <f t="shared" si="37"/>
        <v>768014.83320478816</v>
      </c>
      <c r="P191" s="686" t="e">
        <f t="shared" si="37"/>
        <v>#DIV/0!</v>
      </c>
      <c r="Q191" s="686" t="e">
        <f t="shared" si="37"/>
        <v>#DIV/0!</v>
      </c>
      <c r="R191" s="686" t="e">
        <f t="shared" si="37"/>
        <v>#DIV/0!</v>
      </c>
      <c r="S191" s="687" t="e">
        <f t="shared" si="37"/>
        <v>#DIV/0!</v>
      </c>
    </row>
    <row r="193" spans="3:19" x14ac:dyDescent="0.35">
      <c r="C193" s="15" t="s">
        <v>672</v>
      </c>
    </row>
    <row r="195" spans="3:19" x14ac:dyDescent="0.35">
      <c r="C195" s="461" t="s">
        <v>475</v>
      </c>
      <c r="D195" s="390"/>
      <c r="E195" s="73"/>
      <c r="F195" s="29"/>
      <c r="G195" s="418">
        <v>2011</v>
      </c>
      <c r="H195" s="419">
        <v>2012</v>
      </c>
      <c r="I195" s="419">
        <v>2013</v>
      </c>
      <c r="J195" s="419">
        <v>2014</v>
      </c>
      <c r="K195" s="419">
        <v>2015</v>
      </c>
      <c r="L195" s="419">
        <v>2016</v>
      </c>
      <c r="M195" s="419">
        <v>2017</v>
      </c>
      <c r="N195" s="419">
        <v>2018</v>
      </c>
      <c r="O195" s="419">
        <v>2019</v>
      </c>
      <c r="P195" s="419">
        <v>2020</v>
      </c>
      <c r="Q195" s="419">
        <v>2021</v>
      </c>
      <c r="R195" s="419">
        <v>2022</v>
      </c>
      <c r="S195" s="420">
        <v>2023</v>
      </c>
    </row>
    <row r="196" spans="3:19" x14ac:dyDescent="0.35">
      <c r="C196" s="464" t="s">
        <v>476</v>
      </c>
      <c r="D196" s="555"/>
      <c r="E196" s="555"/>
      <c r="F196" s="606"/>
      <c r="G196" s="464"/>
      <c r="H196" s="555"/>
      <c r="I196" s="555"/>
      <c r="J196" s="555"/>
      <c r="K196" s="555"/>
      <c r="L196" s="555"/>
      <c r="M196" s="555"/>
      <c r="N196" s="555"/>
      <c r="O196" s="555"/>
      <c r="P196" s="555"/>
      <c r="Q196" s="555"/>
      <c r="R196" s="555"/>
      <c r="S196" s="369"/>
    </row>
    <row r="197" spans="3:19" x14ac:dyDescent="0.35">
      <c r="C197" s="510" t="s">
        <v>482</v>
      </c>
      <c r="D197" s="379"/>
      <c r="F197" s="239" t="s">
        <v>668</v>
      </c>
      <c r="G197" s="611">
        <v>313000307.06539482</v>
      </c>
      <c r="H197" s="610">
        <v>338265218.28939617</v>
      </c>
      <c r="I197" s="610">
        <v>330282607.79483777</v>
      </c>
      <c r="J197" s="610">
        <v>315137704.87539577</v>
      </c>
      <c r="K197" s="610">
        <v>272686883.4801054</v>
      </c>
      <c r="L197" s="610">
        <v>249873331.85371926</v>
      </c>
      <c r="M197" s="610">
        <v>264686358.54319346</v>
      </c>
      <c r="N197" s="610">
        <v>296201003.83424067</v>
      </c>
      <c r="O197" s="610">
        <v>291294996.0906769</v>
      </c>
      <c r="P197" s="610">
        <v>230636575.37951306</v>
      </c>
      <c r="Q197" s="610">
        <v>279383927.75201529</v>
      </c>
      <c r="R197" s="610">
        <v>348173185.31830323</v>
      </c>
      <c r="S197" s="612">
        <v>346919580.7239989</v>
      </c>
    </row>
    <row r="198" spans="3:19" x14ac:dyDescent="0.35">
      <c r="C198" s="74" t="s">
        <v>582</v>
      </c>
      <c r="D198" s="379"/>
      <c r="E198" s="379"/>
      <c r="F198" s="31"/>
      <c r="G198" s="597">
        <v>212840208.80446848</v>
      </c>
      <c r="H198" s="375">
        <v>230020348.43678942</v>
      </c>
      <c r="I198" s="375">
        <v>224592173.30048969</v>
      </c>
      <c r="J198" s="375">
        <v>214293639.31526914</v>
      </c>
      <c r="K198" s="375">
        <v>185427080.76647168</v>
      </c>
      <c r="L198" s="375">
        <v>169913865.66052911</v>
      </c>
      <c r="M198" s="375">
        <v>179986723.80937156</v>
      </c>
      <c r="N198" s="375">
        <v>201416682.60728368</v>
      </c>
      <c r="O198" s="375">
        <v>198080597.34166032</v>
      </c>
      <c r="P198" s="375">
        <v>156832871.25806889</v>
      </c>
      <c r="Q198" s="375">
        <v>189981070.8713704</v>
      </c>
      <c r="R198" s="375">
        <v>236757766.0164462</v>
      </c>
      <c r="S198" s="376">
        <v>235905314.89231926</v>
      </c>
    </row>
    <row r="199" spans="3:19" x14ac:dyDescent="0.35">
      <c r="C199" s="74" t="s">
        <v>583</v>
      </c>
      <c r="D199" s="379"/>
      <c r="E199" s="379"/>
      <c r="F199" s="31"/>
      <c r="G199" s="597">
        <v>65730064.483732909</v>
      </c>
      <c r="H199" s="375">
        <v>71035695.840773195</v>
      </c>
      <c r="I199" s="375">
        <v>69359347.636915937</v>
      </c>
      <c r="J199" s="375">
        <v>66178918.023833111</v>
      </c>
      <c r="K199" s="375">
        <v>57264245.530822136</v>
      </c>
      <c r="L199" s="375">
        <v>52473399.689281046</v>
      </c>
      <c r="M199" s="375">
        <v>55584135.294070624</v>
      </c>
      <c r="N199" s="375">
        <v>62202210.805190541</v>
      </c>
      <c r="O199" s="375">
        <v>61171949.179042146</v>
      </c>
      <c r="P199" s="375">
        <v>48433680.829697743</v>
      </c>
      <c r="Q199" s="375">
        <v>58670624.827923208</v>
      </c>
      <c r="R199" s="375">
        <v>73116368.916843668</v>
      </c>
      <c r="S199" s="376">
        <v>72853111.952039763</v>
      </c>
    </row>
    <row r="200" spans="3:19" x14ac:dyDescent="0.35">
      <c r="C200" s="74" t="s">
        <v>560</v>
      </c>
      <c r="D200" s="379"/>
      <c r="E200" s="379"/>
      <c r="F200" s="31"/>
      <c r="G200" s="597">
        <v>34430033.777193427</v>
      </c>
      <c r="H200" s="375">
        <v>37209174.011833578</v>
      </c>
      <c r="I200" s="375">
        <v>36331086.857432157</v>
      </c>
      <c r="J200" s="375">
        <v>34665147.536293536</v>
      </c>
      <c r="K200" s="375">
        <v>29995557.182811595</v>
      </c>
      <c r="L200" s="375">
        <v>27486066.503909118</v>
      </c>
      <c r="M200" s="375">
        <v>29115499.439751282</v>
      </c>
      <c r="N200" s="375">
        <v>32582110.421766475</v>
      </c>
      <c r="O200" s="375">
        <v>32042449.56997446</v>
      </c>
      <c r="P200" s="375">
        <v>25370023.291746438</v>
      </c>
      <c r="Q200" s="375">
        <v>30732232.052721683</v>
      </c>
      <c r="R200" s="375">
        <v>38299050.385013357</v>
      </c>
      <c r="S200" s="376">
        <v>38161153.879639879</v>
      </c>
    </row>
    <row r="201" spans="3:19" x14ac:dyDescent="0.35">
      <c r="C201" s="437" t="s">
        <v>584</v>
      </c>
      <c r="D201" s="379"/>
      <c r="E201" s="379"/>
      <c r="F201" s="31"/>
      <c r="G201" s="597">
        <v>7918907.7687544888</v>
      </c>
      <c r="H201" s="375">
        <v>8558110.0227217227</v>
      </c>
      <c r="I201" s="375">
        <v>8356149.9772093957</v>
      </c>
      <c r="J201" s="375">
        <v>7972983.933347513</v>
      </c>
      <c r="K201" s="375">
        <v>6898978.1520466665</v>
      </c>
      <c r="L201" s="375">
        <v>6321795.2958990969</v>
      </c>
      <c r="M201" s="375">
        <v>6696564.8711427944</v>
      </c>
      <c r="N201" s="375">
        <v>7493885.3970062891</v>
      </c>
      <c r="O201" s="375">
        <v>7369763.4010941256</v>
      </c>
      <c r="P201" s="375">
        <v>5835105.3571016798</v>
      </c>
      <c r="Q201" s="375">
        <v>7068413.372125987</v>
      </c>
      <c r="R201" s="375">
        <v>8808781.588553071</v>
      </c>
      <c r="S201" s="376">
        <v>8777065.3923171721</v>
      </c>
    </row>
    <row r="202" spans="3:19" x14ac:dyDescent="0.35">
      <c r="C202" s="437" t="s">
        <v>585</v>
      </c>
      <c r="D202" s="379"/>
      <c r="E202" s="379"/>
      <c r="F202" s="31"/>
      <c r="G202" s="597">
        <v>18247917.901912518</v>
      </c>
      <c r="H202" s="375">
        <v>19720862.226271797</v>
      </c>
      <c r="I202" s="375">
        <v>19255476.034439042</v>
      </c>
      <c r="J202" s="375">
        <v>18372528.194235574</v>
      </c>
      <c r="K202" s="375">
        <v>15897645.306890147</v>
      </c>
      <c r="L202" s="375">
        <v>14567615.247071834</v>
      </c>
      <c r="M202" s="375">
        <v>15431214.70306818</v>
      </c>
      <c r="N202" s="375">
        <v>17268518.523536231</v>
      </c>
      <c r="O202" s="375">
        <v>16982498.272086464</v>
      </c>
      <c r="P202" s="375">
        <v>13446112.344625613</v>
      </c>
      <c r="Q202" s="375">
        <v>16288082.987942493</v>
      </c>
      <c r="R202" s="375">
        <v>20298496.704057079</v>
      </c>
      <c r="S202" s="376">
        <v>20225411.55620914</v>
      </c>
    </row>
    <row r="203" spans="3:19" x14ac:dyDescent="0.35">
      <c r="C203" s="437" t="s">
        <v>586</v>
      </c>
      <c r="D203" s="379"/>
      <c r="E203" s="379"/>
      <c r="F203" s="31"/>
      <c r="G203" s="597">
        <v>3787303.7154912772</v>
      </c>
      <c r="H203" s="375">
        <v>4093009.1413016934</v>
      </c>
      <c r="I203" s="375">
        <v>3996419.5543175368</v>
      </c>
      <c r="J203" s="375">
        <v>3813166.2289922889</v>
      </c>
      <c r="K203" s="375">
        <v>3299511.2901092754</v>
      </c>
      <c r="L203" s="375">
        <v>3023467.3154300032</v>
      </c>
      <c r="M203" s="375">
        <v>3202704.9383726409</v>
      </c>
      <c r="N203" s="375">
        <v>3584032.1463943119</v>
      </c>
      <c r="O203" s="375">
        <v>3524669.4526971905</v>
      </c>
      <c r="P203" s="375">
        <v>2790702.5620921077</v>
      </c>
      <c r="Q203" s="375">
        <v>3380545.5257993848</v>
      </c>
      <c r="R203" s="375">
        <v>4212895.5423514685</v>
      </c>
      <c r="S203" s="376">
        <v>4197726.9267603867</v>
      </c>
    </row>
    <row r="204" spans="3:19" x14ac:dyDescent="0.35">
      <c r="C204" s="437" t="s">
        <v>587</v>
      </c>
      <c r="D204" s="379"/>
      <c r="E204" s="379"/>
      <c r="F204" s="31"/>
      <c r="G204" s="597">
        <v>2410102.3644035403</v>
      </c>
      <c r="H204" s="375">
        <v>2604642.1808283511</v>
      </c>
      <c r="I204" s="375">
        <v>2543176.0800202512</v>
      </c>
      <c r="J204" s="375">
        <v>2426560.3275405476</v>
      </c>
      <c r="K204" s="375">
        <v>2099689.002796812</v>
      </c>
      <c r="L204" s="375">
        <v>1924024.6552736387</v>
      </c>
      <c r="M204" s="375">
        <v>2038084.9607825899</v>
      </c>
      <c r="N204" s="375">
        <v>2280747.7295236536</v>
      </c>
      <c r="O204" s="375">
        <v>2242971.4698982127</v>
      </c>
      <c r="P204" s="375">
        <v>1775901.6304222508</v>
      </c>
      <c r="Q204" s="375">
        <v>2151256.2436905182</v>
      </c>
      <c r="R204" s="375">
        <v>2680933.5269509354</v>
      </c>
      <c r="S204" s="376">
        <v>2671280.771574792</v>
      </c>
    </row>
    <row r="205" spans="3:19" x14ac:dyDescent="0.35">
      <c r="C205" s="437" t="s">
        <v>588</v>
      </c>
      <c r="D205" s="379"/>
      <c r="E205" s="379"/>
      <c r="F205" s="31"/>
      <c r="G205" s="597">
        <v>1721501.6888596716</v>
      </c>
      <c r="H205" s="375">
        <v>1860458.7005916792</v>
      </c>
      <c r="I205" s="375">
        <v>1816554.342871608</v>
      </c>
      <c r="J205" s="375">
        <v>1733257.3768146769</v>
      </c>
      <c r="K205" s="375">
        <v>1499777.8591405798</v>
      </c>
      <c r="L205" s="375">
        <v>1374303.3251954562</v>
      </c>
      <c r="M205" s="375">
        <v>1455774.9719875641</v>
      </c>
      <c r="N205" s="375">
        <v>1629105.5210883238</v>
      </c>
      <c r="O205" s="375">
        <v>1602122.4784987231</v>
      </c>
      <c r="P205" s="375">
        <v>1268501.1645873219</v>
      </c>
      <c r="Q205" s="375">
        <v>1536611.6026360842</v>
      </c>
      <c r="R205" s="375">
        <v>1914952.5192506679</v>
      </c>
      <c r="S205" s="376">
        <v>1908057.6939819942</v>
      </c>
    </row>
    <row r="206" spans="3:19" x14ac:dyDescent="0.35">
      <c r="C206" s="464" t="s">
        <v>484</v>
      </c>
      <c r="D206" s="555"/>
      <c r="E206" s="555"/>
      <c r="F206" s="606"/>
      <c r="G206" s="614"/>
      <c r="H206" s="556"/>
      <c r="I206" s="556"/>
      <c r="J206" s="556"/>
      <c r="K206" s="556"/>
      <c r="L206" s="556"/>
      <c r="M206" s="556"/>
      <c r="N206" s="556"/>
      <c r="O206" s="556"/>
      <c r="P206" s="556"/>
      <c r="Q206" s="556"/>
      <c r="R206" s="556"/>
      <c r="S206" s="377"/>
    </row>
    <row r="207" spans="3:19" x14ac:dyDescent="0.35">
      <c r="C207" s="515" t="s">
        <v>482</v>
      </c>
      <c r="D207" s="379"/>
      <c r="F207" s="239" t="s">
        <v>668</v>
      </c>
      <c r="G207" s="615">
        <v>149199778.26042429</v>
      </c>
      <c r="H207" s="386">
        <v>165990512.86192492</v>
      </c>
      <c r="I207" s="386">
        <v>164042129.2778478</v>
      </c>
      <c r="J207" s="386">
        <v>164287501.48126963</v>
      </c>
      <c r="K207" s="386">
        <v>147071975.44979975</v>
      </c>
      <c r="L207" s="386">
        <v>141349269.22881404</v>
      </c>
      <c r="M207" s="386">
        <v>169354426.11857429</v>
      </c>
      <c r="N207" s="386">
        <v>196893570.5180198</v>
      </c>
      <c r="O207" s="386">
        <v>200813171.05837461</v>
      </c>
      <c r="P207" s="386">
        <v>165017352.33582866</v>
      </c>
      <c r="Q207" s="386">
        <v>195299199.00296411</v>
      </c>
      <c r="R207" s="386">
        <v>260484036.02949476</v>
      </c>
      <c r="S207" s="511">
        <v>248920720.99954972</v>
      </c>
    </row>
    <row r="208" spans="3:19" x14ac:dyDescent="0.35">
      <c r="C208" s="74" t="s">
        <v>582</v>
      </c>
      <c r="D208" s="379"/>
      <c r="F208" s="31"/>
      <c r="G208" s="597">
        <v>101455849.21708852</v>
      </c>
      <c r="H208" s="375">
        <v>112873548.74610895</v>
      </c>
      <c r="I208" s="375">
        <v>111548647.90893652</v>
      </c>
      <c r="J208" s="375">
        <v>111715501.00726335</v>
      </c>
      <c r="K208" s="375">
        <v>100008943.30586383</v>
      </c>
      <c r="L208" s="375">
        <v>96117503.075593546</v>
      </c>
      <c r="M208" s="375">
        <v>115161009.76063053</v>
      </c>
      <c r="N208" s="375">
        <v>133887627.95225348</v>
      </c>
      <c r="O208" s="375">
        <v>136552956.31969476</v>
      </c>
      <c r="P208" s="375">
        <v>112211799.5883635</v>
      </c>
      <c r="Q208" s="375">
        <v>132803455.3220156</v>
      </c>
      <c r="R208" s="375">
        <v>177129144.50005645</v>
      </c>
      <c r="S208" s="376">
        <v>169266090.27969381</v>
      </c>
    </row>
    <row r="209" spans="3:19" x14ac:dyDescent="0.35">
      <c r="C209" s="74" t="s">
        <v>583</v>
      </c>
      <c r="D209" s="379"/>
      <c r="F209" s="31"/>
      <c r="G209" s="597">
        <v>31331953.434689097</v>
      </c>
      <c r="H209" s="375">
        <v>34858007.701004229</v>
      </c>
      <c r="I209" s="375">
        <v>34448847.148348033</v>
      </c>
      <c r="J209" s="375">
        <v>34500375.31106662</v>
      </c>
      <c r="K209" s="375">
        <v>30885114.844457947</v>
      </c>
      <c r="L209" s="375">
        <v>29683346.538050946</v>
      </c>
      <c r="M209" s="375">
        <v>35564429.484900601</v>
      </c>
      <c r="N209" s="375">
        <v>41347649.808784157</v>
      </c>
      <c r="O209" s="375">
        <v>42170765.922258668</v>
      </c>
      <c r="P209" s="375">
        <v>34653643.990524016</v>
      </c>
      <c r="Q209" s="375">
        <v>41012831.790622458</v>
      </c>
      <c r="R209" s="375">
        <v>54701647.566193901</v>
      </c>
      <c r="S209" s="376">
        <v>52273351.409905441</v>
      </c>
    </row>
    <row r="210" spans="3:19" x14ac:dyDescent="0.35">
      <c r="C210" s="74" t="s">
        <v>560</v>
      </c>
      <c r="D210" s="379"/>
      <c r="F210" s="31"/>
      <c r="G210" s="597">
        <v>16411975.608646672</v>
      </c>
      <c r="H210" s="375">
        <v>18258956.414811742</v>
      </c>
      <c r="I210" s="375">
        <v>18044634.220563259</v>
      </c>
      <c r="J210" s="375">
        <v>18071625.16293966</v>
      </c>
      <c r="K210" s="375">
        <v>16177917.299477972</v>
      </c>
      <c r="L210" s="375">
        <v>15548419.615169544</v>
      </c>
      <c r="M210" s="375">
        <v>18628986.873043172</v>
      </c>
      <c r="N210" s="375">
        <v>21658292.756982177</v>
      </c>
      <c r="O210" s="375">
        <v>22089448.816421207</v>
      </c>
      <c r="P210" s="375">
        <v>18151908.756941155</v>
      </c>
      <c r="Q210" s="375">
        <v>21482911.890326053</v>
      </c>
      <c r="R210" s="375">
        <v>28653243.963244423</v>
      </c>
      <c r="S210" s="376">
        <v>27381279.309950467</v>
      </c>
    </row>
    <row r="211" spans="3:19" x14ac:dyDescent="0.35">
      <c r="C211" s="437" t="s">
        <v>584</v>
      </c>
      <c r="D211" s="379"/>
      <c r="F211" s="31"/>
      <c r="G211" s="597">
        <v>3774754.3899887344</v>
      </c>
      <c r="H211" s="375">
        <v>4199559.9754067007</v>
      </c>
      <c r="I211" s="375">
        <v>4150265.8707295493</v>
      </c>
      <c r="J211" s="375">
        <v>4156473.7874761214</v>
      </c>
      <c r="K211" s="375">
        <v>3720920.9788799337</v>
      </c>
      <c r="L211" s="375">
        <v>3576136.511488995</v>
      </c>
      <c r="M211" s="375">
        <v>4284666.9807999292</v>
      </c>
      <c r="N211" s="375">
        <v>4981407.3341059005</v>
      </c>
      <c r="O211" s="375">
        <v>5080573.2277768776</v>
      </c>
      <c r="P211" s="375">
        <v>4174939.014096465</v>
      </c>
      <c r="Q211" s="375">
        <v>4941069.7347749919</v>
      </c>
      <c r="R211" s="375">
        <v>6590246.1115462175</v>
      </c>
      <c r="S211" s="376">
        <v>6297694.2412886079</v>
      </c>
    </row>
    <row r="212" spans="3:19" x14ac:dyDescent="0.35">
      <c r="C212" s="437" t="s">
        <v>585</v>
      </c>
      <c r="D212" s="379"/>
      <c r="F212" s="31"/>
      <c r="G212" s="597">
        <v>8698347.0725827366</v>
      </c>
      <c r="H212" s="375">
        <v>9677246.8998502232</v>
      </c>
      <c r="I212" s="375">
        <v>9563656.1368985269</v>
      </c>
      <c r="J212" s="375">
        <v>9577961.3363580201</v>
      </c>
      <c r="K212" s="375">
        <v>8574296.1687233262</v>
      </c>
      <c r="L212" s="375">
        <v>8240662.3960398594</v>
      </c>
      <c r="M212" s="375">
        <v>9873363.0427128822</v>
      </c>
      <c r="N212" s="375">
        <v>11478895.161200555</v>
      </c>
      <c r="O212" s="375">
        <v>11707407.872703241</v>
      </c>
      <c r="P212" s="375">
        <v>9620511.641178811</v>
      </c>
      <c r="Q212" s="375">
        <v>11385943.301872808</v>
      </c>
      <c r="R212" s="375">
        <v>15186219.300519546</v>
      </c>
      <c r="S212" s="376">
        <v>14512078.034273749</v>
      </c>
    </row>
    <row r="213" spans="3:19" x14ac:dyDescent="0.35">
      <c r="C213" s="437" t="s">
        <v>586</v>
      </c>
      <c r="D213" s="379"/>
      <c r="F213" s="31"/>
      <c r="G213" s="597">
        <v>1805317.3169511338</v>
      </c>
      <c r="H213" s="375">
        <v>2008485.2056292915</v>
      </c>
      <c r="I213" s="375">
        <v>1984909.7642619582</v>
      </c>
      <c r="J213" s="375">
        <v>1987878.7679233626</v>
      </c>
      <c r="K213" s="375">
        <v>1779570.9029425769</v>
      </c>
      <c r="L213" s="375">
        <v>1710326.1576686497</v>
      </c>
      <c r="M213" s="375">
        <v>2049188.5560347489</v>
      </c>
      <c r="N213" s="375">
        <v>2382412.2032680395</v>
      </c>
      <c r="O213" s="375">
        <v>2429839.369806333</v>
      </c>
      <c r="P213" s="375">
        <v>1996709.9632635268</v>
      </c>
      <c r="Q213" s="375">
        <v>2363120.3079358656</v>
      </c>
      <c r="R213" s="375">
        <v>3151856.8359568864</v>
      </c>
      <c r="S213" s="376">
        <v>3011940.7240945515</v>
      </c>
    </row>
    <row r="214" spans="3:19" x14ac:dyDescent="0.35">
      <c r="C214" s="437" t="s">
        <v>587</v>
      </c>
      <c r="D214" s="379"/>
      <c r="F214" s="31"/>
      <c r="G214" s="597">
        <v>1148838.2926052671</v>
      </c>
      <c r="H214" s="375">
        <v>1278126.949036822</v>
      </c>
      <c r="I214" s="375">
        <v>1263124.3954394283</v>
      </c>
      <c r="J214" s="375">
        <v>1265013.7614057763</v>
      </c>
      <c r="K214" s="375">
        <v>1132454.2109634583</v>
      </c>
      <c r="L214" s="375">
        <v>1088389.3730618681</v>
      </c>
      <c r="M214" s="375">
        <v>1304029.0811130223</v>
      </c>
      <c r="N214" s="375">
        <v>1516080.4929887527</v>
      </c>
      <c r="O214" s="375">
        <v>1546261.4171494849</v>
      </c>
      <c r="P214" s="375">
        <v>1270633.6129858808</v>
      </c>
      <c r="Q214" s="375">
        <v>1503803.8323228238</v>
      </c>
      <c r="R214" s="375">
        <v>2005727.0774271099</v>
      </c>
      <c r="S214" s="376">
        <v>1916689.5516965331</v>
      </c>
    </row>
    <row r="215" spans="3:19" x14ac:dyDescent="0.35">
      <c r="C215" s="437" t="s">
        <v>588</v>
      </c>
      <c r="D215" s="379"/>
      <c r="F215" s="31"/>
      <c r="G215" s="597">
        <v>820598.7804323337</v>
      </c>
      <c r="H215" s="375">
        <v>912947.82074058708</v>
      </c>
      <c r="I215" s="375">
        <v>902231.71102816297</v>
      </c>
      <c r="J215" s="375">
        <v>903581.25814698299</v>
      </c>
      <c r="K215" s="375">
        <v>808895.86497389863</v>
      </c>
      <c r="L215" s="375">
        <v>777420.98075847724</v>
      </c>
      <c r="M215" s="375">
        <v>931449.34365215874</v>
      </c>
      <c r="N215" s="375">
        <v>1082914.637849109</v>
      </c>
      <c r="O215" s="375">
        <v>1104472.4408210604</v>
      </c>
      <c r="P215" s="375">
        <v>907595.43784705771</v>
      </c>
      <c r="Q215" s="375">
        <v>1074145.5945163027</v>
      </c>
      <c r="R215" s="375">
        <v>1432662.1981622213</v>
      </c>
      <c r="S215" s="376">
        <v>1369063.9654975235</v>
      </c>
    </row>
    <row r="216" spans="3:19" x14ac:dyDescent="0.35">
      <c r="C216" s="464" t="s">
        <v>485</v>
      </c>
      <c r="D216" s="555"/>
      <c r="E216" s="555"/>
      <c r="F216" s="606"/>
      <c r="G216" s="614"/>
      <c r="H216" s="556"/>
      <c r="I216" s="556"/>
      <c r="J216" s="556"/>
      <c r="K216" s="556"/>
      <c r="L216" s="556"/>
      <c r="M216" s="556"/>
      <c r="N216" s="556"/>
      <c r="O216" s="556"/>
      <c r="P216" s="556"/>
      <c r="Q216" s="556"/>
      <c r="R216" s="556"/>
      <c r="S216" s="377"/>
    </row>
    <row r="217" spans="3:19" x14ac:dyDescent="0.35">
      <c r="C217" s="515" t="s">
        <v>482</v>
      </c>
      <c r="F217" s="239" t="s">
        <v>668</v>
      </c>
      <c r="G217" s="615">
        <v>79204294.298328921</v>
      </c>
      <c r="H217" s="386">
        <v>86390189.318894967</v>
      </c>
      <c r="I217" s="386">
        <v>84496164.526179507</v>
      </c>
      <c r="J217" s="386">
        <v>79708164.960075364</v>
      </c>
      <c r="K217" s="386">
        <v>71899411.828347787</v>
      </c>
      <c r="L217" s="386">
        <v>67348299.132594928</v>
      </c>
      <c r="M217" s="386">
        <v>68339336.672120929</v>
      </c>
      <c r="N217" s="386">
        <v>82662837.473956585</v>
      </c>
      <c r="O217" s="386">
        <v>83307790.413863853</v>
      </c>
      <c r="P217" s="386">
        <v>68787131.285840958</v>
      </c>
      <c r="Q217" s="386">
        <v>83027309.969307795</v>
      </c>
      <c r="R217" s="386">
        <v>109442918.4017875</v>
      </c>
      <c r="S217" s="511">
        <v>105421412.768493</v>
      </c>
    </row>
    <row r="218" spans="3:19" x14ac:dyDescent="0.35">
      <c r="C218" s="74" t="s">
        <v>582</v>
      </c>
      <c r="F218" s="31"/>
      <c r="G218" s="597">
        <v>53858920.122863673</v>
      </c>
      <c r="H218" s="375">
        <v>58745328.736848585</v>
      </c>
      <c r="I218" s="375">
        <v>57457391.877802067</v>
      </c>
      <c r="J218" s="375">
        <v>54201552.17285125</v>
      </c>
      <c r="K218" s="375">
        <v>48891600.043276496</v>
      </c>
      <c r="L218" s="375">
        <v>45796843.410164557</v>
      </c>
      <c r="M218" s="375">
        <v>46470748.937042236</v>
      </c>
      <c r="N218" s="375">
        <v>56210729.482290484</v>
      </c>
      <c r="O218" s="375">
        <v>56649297.481427424</v>
      </c>
      <c r="P218" s="375">
        <v>46775249.274371855</v>
      </c>
      <c r="Q218" s="375">
        <v>56458570.779129304</v>
      </c>
      <c r="R218" s="375">
        <v>74421184.513215512</v>
      </c>
      <c r="S218" s="376">
        <v>71686560.682575241</v>
      </c>
    </row>
    <row r="219" spans="3:19" x14ac:dyDescent="0.35">
      <c r="C219" s="74" t="s">
        <v>583</v>
      </c>
      <c r="F219" s="31"/>
      <c r="G219" s="597">
        <v>16632901.802649073</v>
      </c>
      <c r="H219" s="375">
        <v>18141939.756967943</v>
      </c>
      <c r="I219" s="375">
        <v>17744194.550497696</v>
      </c>
      <c r="J219" s="375">
        <v>16738714.641615827</v>
      </c>
      <c r="K219" s="375">
        <v>15098876.483953035</v>
      </c>
      <c r="L219" s="375">
        <v>14143142.817844935</v>
      </c>
      <c r="M219" s="375">
        <v>14351260.701145394</v>
      </c>
      <c r="N219" s="375">
        <v>17359195.869530883</v>
      </c>
      <c r="O219" s="375">
        <v>17494635.986911409</v>
      </c>
      <c r="P219" s="375">
        <v>14445297.570026601</v>
      </c>
      <c r="Q219" s="375">
        <v>17435735.093554635</v>
      </c>
      <c r="R219" s="375">
        <v>22983012.864375375</v>
      </c>
      <c r="S219" s="376">
        <v>22138496.681383528</v>
      </c>
    </row>
    <row r="220" spans="3:19" x14ac:dyDescent="0.35">
      <c r="C220" s="74" t="s">
        <v>560</v>
      </c>
      <c r="F220" s="31"/>
      <c r="G220" s="597">
        <v>8712472.3728161808</v>
      </c>
      <c r="H220" s="375">
        <v>9502920.8250784464</v>
      </c>
      <c r="I220" s="375">
        <v>9294578.0978797451</v>
      </c>
      <c r="J220" s="375">
        <v>8767898.1456082892</v>
      </c>
      <c r="K220" s="375">
        <v>7908935.3011182565</v>
      </c>
      <c r="L220" s="375">
        <v>7408312.9045854425</v>
      </c>
      <c r="M220" s="375">
        <v>7517327.0339333024</v>
      </c>
      <c r="N220" s="375">
        <v>9092912.1221352238</v>
      </c>
      <c r="O220" s="375">
        <v>9163856.9455250241</v>
      </c>
      <c r="P220" s="375">
        <v>7566584.4414425055</v>
      </c>
      <c r="Q220" s="375">
        <v>9133004.0966238584</v>
      </c>
      <c r="R220" s="375">
        <v>12038721.024196625</v>
      </c>
      <c r="S220" s="376">
        <v>11596355.40453423</v>
      </c>
    </row>
    <row r="221" spans="3:19" x14ac:dyDescent="0.35">
      <c r="C221" s="437" t="s">
        <v>584</v>
      </c>
      <c r="F221" s="31"/>
      <c r="G221" s="597">
        <v>2003868.6457477217</v>
      </c>
      <c r="H221" s="375">
        <v>2185671.7897680425</v>
      </c>
      <c r="I221" s="375">
        <v>2137752.9625123413</v>
      </c>
      <c r="J221" s="375">
        <v>2016616.5734899067</v>
      </c>
      <c r="K221" s="375">
        <v>1819055.1192571989</v>
      </c>
      <c r="L221" s="375">
        <v>1703911.9680546517</v>
      </c>
      <c r="M221" s="375">
        <v>1728985.2178046594</v>
      </c>
      <c r="N221" s="375">
        <v>2091369.7880911015</v>
      </c>
      <c r="O221" s="375">
        <v>2107687.0974707552</v>
      </c>
      <c r="P221" s="375">
        <v>1740314.4215317762</v>
      </c>
      <c r="Q221" s="375">
        <v>2100590.942223487</v>
      </c>
      <c r="R221" s="375">
        <v>2768905.8355652238</v>
      </c>
      <c r="S221" s="376">
        <v>2667161.7430428728</v>
      </c>
    </row>
    <row r="222" spans="3:19" x14ac:dyDescent="0.35">
      <c r="C222" s="437" t="s">
        <v>585</v>
      </c>
      <c r="F222" s="31"/>
      <c r="G222" s="597">
        <v>4617610.3575925762</v>
      </c>
      <c r="H222" s="375">
        <v>5036548.0372915771</v>
      </c>
      <c r="I222" s="375">
        <v>4926126.3918762654</v>
      </c>
      <c r="J222" s="375">
        <v>4646986.0171723943</v>
      </c>
      <c r="K222" s="375">
        <v>4191735.7095926763</v>
      </c>
      <c r="L222" s="375">
        <v>3926405.8394302847</v>
      </c>
      <c r="M222" s="375">
        <v>3984183.3279846506</v>
      </c>
      <c r="N222" s="375">
        <v>4819243.424731669</v>
      </c>
      <c r="O222" s="375">
        <v>4856844.1811282625</v>
      </c>
      <c r="P222" s="375">
        <v>4010289.753964528</v>
      </c>
      <c r="Q222" s="375">
        <v>4840492.1712106448</v>
      </c>
      <c r="R222" s="375">
        <v>6380522.1428242121</v>
      </c>
      <c r="S222" s="376">
        <v>6146068.3644031426</v>
      </c>
    </row>
    <row r="223" spans="3:19" x14ac:dyDescent="0.35">
      <c r="C223" s="437" t="s">
        <v>586</v>
      </c>
      <c r="F223" s="31"/>
      <c r="G223" s="597">
        <v>958371.96100977995</v>
      </c>
      <c r="H223" s="375">
        <v>1045321.2907586291</v>
      </c>
      <c r="I223" s="375">
        <v>1022403.590766772</v>
      </c>
      <c r="J223" s="375">
        <v>964468.79601691186</v>
      </c>
      <c r="K223" s="375">
        <v>869982.88312300819</v>
      </c>
      <c r="L223" s="375">
        <v>814914.4195043986</v>
      </c>
      <c r="M223" s="375">
        <v>826905.9737326632</v>
      </c>
      <c r="N223" s="375">
        <v>1000220.3334348747</v>
      </c>
      <c r="O223" s="375">
        <v>1008024.2640077526</v>
      </c>
      <c r="P223" s="375">
        <v>832324.28855867556</v>
      </c>
      <c r="Q223" s="375">
        <v>1004630.4506286243</v>
      </c>
      <c r="R223" s="375">
        <v>1324259.3126616287</v>
      </c>
      <c r="S223" s="376">
        <v>1275599.0944987652</v>
      </c>
    </row>
    <row r="224" spans="3:19" x14ac:dyDescent="0.35">
      <c r="C224" s="437" t="s">
        <v>587</v>
      </c>
      <c r="F224" s="31"/>
      <c r="G224" s="597">
        <v>609873.06609713275</v>
      </c>
      <c r="H224" s="375">
        <v>665204.45775549137</v>
      </c>
      <c r="I224" s="375">
        <v>650620.46685158229</v>
      </c>
      <c r="J224" s="375">
        <v>613752.87019258039</v>
      </c>
      <c r="K224" s="375">
        <v>553625.47107827803</v>
      </c>
      <c r="L224" s="375">
        <v>518581.90332098101</v>
      </c>
      <c r="M224" s="375">
        <v>526212.89237533126</v>
      </c>
      <c r="N224" s="375">
        <v>636503.84854946577</v>
      </c>
      <c r="O224" s="375">
        <v>641469.98618675175</v>
      </c>
      <c r="P224" s="375">
        <v>529660.91090097546</v>
      </c>
      <c r="Q224" s="375">
        <v>639310.28676367016</v>
      </c>
      <c r="R224" s="375">
        <v>842710.47169376386</v>
      </c>
      <c r="S224" s="376">
        <v>811744.87831739616</v>
      </c>
    </row>
    <row r="225" spans="3:19" x14ac:dyDescent="0.35">
      <c r="C225" s="437" t="s">
        <v>588</v>
      </c>
      <c r="F225" s="31"/>
      <c r="G225" s="597">
        <v>435623.61864080909</v>
      </c>
      <c r="H225" s="375">
        <v>475146.04125392239</v>
      </c>
      <c r="I225" s="375">
        <v>464728.90489398735</v>
      </c>
      <c r="J225" s="375">
        <v>438394.90728041454</v>
      </c>
      <c r="K225" s="375">
        <v>395446.7650559129</v>
      </c>
      <c r="L225" s="375">
        <v>370415.64522927214</v>
      </c>
      <c r="M225" s="375">
        <v>375866.35169666517</v>
      </c>
      <c r="N225" s="375">
        <v>454645.60610676126</v>
      </c>
      <c r="O225" s="375">
        <v>458192.84727625124</v>
      </c>
      <c r="P225" s="375">
        <v>378329.2220721253</v>
      </c>
      <c r="Q225" s="375">
        <v>456650.20483119291</v>
      </c>
      <c r="R225" s="375">
        <v>601936.05120983138</v>
      </c>
      <c r="S225" s="376">
        <v>579817.77022671152</v>
      </c>
    </row>
    <row r="226" spans="3:19" x14ac:dyDescent="0.35">
      <c r="C226" s="464" t="s">
        <v>486</v>
      </c>
      <c r="D226" s="555"/>
      <c r="E226" s="555"/>
      <c r="F226" s="606"/>
      <c r="G226" s="614"/>
      <c r="H226" s="556"/>
      <c r="I226" s="556"/>
      <c r="J226" s="556"/>
      <c r="K226" s="556"/>
      <c r="L226" s="556"/>
      <c r="M226" s="556"/>
      <c r="N226" s="556"/>
      <c r="O226" s="556"/>
      <c r="P226" s="556"/>
      <c r="Q226" s="556"/>
      <c r="R226" s="556"/>
      <c r="S226" s="377"/>
    </row>
    <row r="227" spans="3:19" x14ac:dyDescent="0.35">
      <c r="C227" s="515" t="s">
        <v>482</v>
      </c>
      <c r="F227" s="239" t="s">
        <v>668</v>
      </c>
      <c r="G227" s="615">
        <v>118644104.0039468</v>
      </c>
      <c r="H227" s="386">
        <v>133027562.39210276</v>
      </c>
      <c r="I227" s="386">
        <v>133834120.50565568</v>
      </c>
      <c r="J227" s="386">
        <v>119138117.26854652</v>
      </c>
      <c r="K227" s="386">
        <v>103911885.5011133</v>
      </c>
      <c r="L227" s="386">
        <v>95010674.169244677</v>
      </c>
      <c r="M227" s="386">
        <v>104139600.50311381</v>
      </c>
      <c r="N227" s="386">
        <v>116546828.71917003</v>
      </c>
      <c r="O227" s="386">
        <v>113515344.90397458</v>
      </c>
      <c r="P227" s="386">
        <v>85382949.7341775</v>
      </c>
      <c r="Q227" s="386">
        <v>112050118.73639482</v>
      </c>
      <c r="R227" s="386">
        <v>144833863.13869086</v>
      </c>
      <c r="S227" s="511">
        <v>139487028.50607216</v>
      </c>
    </row>
    <row r="228" spans="3:19" x14ac:dyDescent="0.35">
      <c r="C228" s="74" t="s">
        <v>582</v>
      </c>
      <c r="F228" s="31"/>
      <c r="G228" s="597">
        <v>80677990.722683832</v>
      </c>
      <c r="H228" s="375">
        <v>90458742.426629886</v>
      </c>
      <c r="I228" s="375">
        <v>91007201.943845868</v>
      </c>
      <c r="J228" s="375">
        <v>81013919.742611647</v>
      </c>
      <c r="K228" s="375">
        <v>70660082.140757039</v>
      </c>
      <c r="L228" s="375">
        <v>64607258.435086384</v>
      </c>
      <c r="M228" s="375">
        <v>70814928.342117399</v>
      </c>
      <c r="N228" s="375">
        <v>79251843.529035628</v>
      </c>
      <c r="O228" s="375">
        <v>77190434.534702718</v>
      </c>
      <c r="P228" s="375">
        <v>58060405.819240704</v>
      </c>
      <c r="Q228" s="375">
        <v>76194080.74074848</v>
      </c>
      <c r="R228" s="375">
        <v>98487026.934309795</v>
      </c>
      <c r="S228" s="376">
        <v>94851179.384129077</v>
      </c>
    </row>
    <row r="229" spans="3:19" x14ac:dyDescent="0.35">
      <c r="C229" s="74" t="s">
        <v>583</v>
      </c>
      <c r="F229" s="31"/>
      <c r="G229" s="597">
        <v>24915261.840828825</v>
      </c>
      <c r="H229" s="375">
        <v>27935788.102341577</v>
      </c>
      <c r="I229" s="375">
        <v>28105165.306187689</v>
      </c>
      <c r="J229" s="375">
        <v>25019004.626394767</v>
      </c>
      <c r="K229" s="375">
        <v>21821495.95523379</v>
      </c>
      <c r="L229" s="375">
        <v>19952241.575541381</v>
      </c>
      <c r="M229" s="375">
        <v>21869316.105653897</v>
      </c>
      <c r="N229" s="375">
        <v>24474834.031025708</v>
      </c>
      <c r="O229" s="375">
        <v>23838222.42983466</v>
      </c>
      <c r="P229" s="375">
        <v>17930419.444177274</v>
      </c>
      <c r="Q229" s="375">
        <v>23530524.934642911</v>
      </c>
      <c r="R229" s="375">
        <v>30415111.25912508</v>
      </c>
      <c r="S229" s="376">
        <v>29292275.986275155</v>
      </c>
    </row>
    <row r="230" spans="3:19" x14ac:dyDescent="0.35">
      <c r="C230" s="74" t="s">
        <v>560</v>
      </c>
      <c r="F230" s="31"/>
      <c r="G230" s="597">
        <v>13050851.440434149</v>
      </c>
      <c r="H230" s="375">
        <v>14633031.863131303</v>
      </c>
      <c r="I230" s="375">
        <v>14721753.255622124</v>
      </c>
      <c r="J230" s="375">
        <v>13105192.899540117</v>
      </c>
      <c r="K230" s="375">
        <v>11430307.405122463</v>
      </c>
      <c r="L230" s="375">
        <v>10451174.158616915</v>
      </c>
      <c r="M230" s="375">
        <v>11455356.05534252</v>
      </c>
      <c r="N230" s="375">
        <v>12820151.159108704</v>
      </c>
      <c r="O230" s="375">
        <v>12486687.939437203</v>
      </c>
      <c r="P230" s="375">
        <v>9392124.4707595259</v>
      </c>
      <c r="Q230" s="375">
        <v>12325513.06100343</v>
      </c>
      <c r="R230" s="375">
        <v>15931724.945255995</v>
      </c>
      <c r="S230" s="376">
        <v>15343573.135667939</v>
      </c>
    </row>
    <row r="231" spans="3:19" x14ac:dyDescent="0.35">
      <c r="C231" s="437" t="s">
        <v>584</v>
      </c>
      <c r="F231" s="31"/>
      <c r="G231" s="597">
        <v>3001695.831299854</v>
      </c>
      <c r="H231" s="375">
        <v>3365597.3285201997</v>
      </c>
      <c r="I231" s="375">
        <v>3386003.2487930884</v>
      </c>
      <c r="J231" s="375">
        <v>3014194.366894227</v>
      </c>
      <c r="K231" s="375">
        <v>2628970.7031781664</v>
      </c>
      <c r="L231" s="375">
        <v>2403770.0564818904</v>
      </c>
      <c r="M231" s="375">
        <v>2634731.8927287795</v>
      </c>
      <c r="N231" s="375">
        <v>2948634.7665950018</v>
      </c>
      <c r="O231" s="375">
        <v>2871938.2260705568</v>
      </c>
      <c r="P231" s="375">
        <v>2160188.6282746908</v>
      </c>
      <c r="Q231" s="375">
        <v>2834868.0040307888</v>
      </c>
      <c r="R231" s="375">
        <v>3664296.7374088787</v>
      </c>
      <c r="S231" s="376">
        <v>3529021.8212036258</v>
      </c>
    </row>
    <row r="232" spans="3:19" x14ac:dyDescent="0.35">
      <c r="C232" s="437" t="s">
        <v>585</v>
      </c>
      <c r="F232" s="31"/>
      <c r="G232" s="597">
        <v>6916951.263430099</v>
      </c>
      <c r="H232" s="375">
        <v>7755506.887459592</v>
      </c>
      <c r="I232" s="375">
        <v>7802529.2254797267</v>
      </c>
      <c r="J232" s="375">
        <v>6945752.2367562624</v>
      </c>
      <c r="K232" s="375">
        <v>6058062.9247149052</v>
      </c>
      <c r="L232" s="375">
        <v>5539122.3040669654</v>
      </c>
      <c r="M232" s="375">
        <v>6071338.7093315357</v>
      </c>
      <c r="N232" s="375">
        <v>6794680.1143276133</v>
      </c>
      <c r="O232" s="375">
        <v>6617944.6079017185</v>
      </c>
      <c r="P232" s="375">
        <v>4977825.9695025487</v>
      </c>
      <c r="Q232" s="375">
        <v>6532521.9223318184</v>
      </c>
      <c r="R232" s="375">
        <v>8443814.2209856771</v>
      </c>
      <c r="S232" s="376">
        <v>8132093.7619040078</v>
      </c>
    </row>
    <row r="233" spans="3:19" x14ac:dyDescent="0.35">
      <c r="C233" s="437" t="s">
        <v>586</v>
      </c>
      <c r="F233" s="31"/>
      <c r="G233" s="597">
        <v>1435593.6584477562</v>
      </c>
      <c r="H233" s="375">
        <v>1609633.5049444435</v>
      </c>
      <c r="I233" s="375">
        <v>1619392.8581184337</v>
      </c>
      <c r="J233" s="375">
        <v>1441571.2189494129</v>
      </c>
      <c r="K233" s="375">
        <v>1257333.8145634709</v>
      </c>
      <c r="L233" s="375">
        <v>1149629.1574478606</v>
      </c>
      <c r="M233" s="375">
        <v>1260089.166087677</v>
      </c>
      <c r="N233" s="375">
        <v>1410216.6275019574</v>
      </c>
      <c r="O233" s="375">
        <v>1373535.6733380924</v>
      </c>
      <c r="P233" s="375">
        <v>1033133.6917835478</v>
      </c>
      <c r="Q233" s="375">
        <v>1355806.4367103772</v>
      </c>
      <c r="R233" s="375">
        <v>1752489.7439781593</v>
      </c>
      <c r="S233" s="376">
        <v>1687793.0449234731</v>
      </c>
    </row>
    <row r="234" spans="3:19" x14ac:dyDescent="0.35">
      <c r="C234" s="437" t="s">
        <v>587</v>
      </c>
      <c r="F234" s="31"/>
      <c r="G234" s="597">
        <v>913559.60083039047</v>
      </c>
      <c r="H234" s="375">
        <v>1024312.2304191914</v>
      </c>
      <c r="I234" s="375">
        <v>1030522.7278935489</v>
      </c>
      <c r="J234" s="375">
        <v>917363.5029678084</v>
      </c>
      <c r="K234" s="375">
        <v>800121.5183585725</v>
      </c>
      <c r="L234" s="375">
        <v>731582.19110318413</v>
      </c>
      <c r="M234" s="375">
        <v>801874.92387397646</v>
      </c>
      <c r="N234" s="375">
        <v>897410.58113760944</v>
      </c>
      <c r="O234" s="375">
        <v>874068.15576060442</v>
      </c>
      <c r="P234" s="375">
        <v>657448.7129531668</v>
      </c>
      <c r="Q234" s="375">
        <v>862785.91427024023</v>
      </c>
      <c r="R234" s="375">
        <v>1115220.7461679198</v>
      </c>
      <c r="S234" s="376">
        <v>1074050.1194967558</v>
      </c>
    </row>
    <row r="235" spans="3:19" x14ac:dyDescent="0.35">
      <c r="C235" s="437" t="s">
        <v>588</v>
      </c>
      <c r="F235" s="31"/>
      <c r="G235" s="597">
        <v>652542.57202170743</v>
      </c>
      <c r="H235" s="375">
        <v>731651.59315656521</v>
      </c>
      <c r="I235" s="375">
        <v>736087.66278110631</v>
      </c>
      <c r="J235" s="375">
        <v>655259.6449770059</v>
      </c>
      <c r="K235" s="375">
        <v>571515.37025612313</v>
      </c>
      <c r="L235" s="375">
        <v>522558.70793084579</v>
      </c>
      <c r="M235" s="375">
        <v>572767.80276712601</v>
      </c>
      <c r="N235" s="375">
        <v>641007.55795543524</v>
      </c>
      <c r="O235" s="375">
        <v>624334.3969718602</v>
      </c>
      <c r="P235" s="375">
        <v>469606.22353797627</v>
      </c>
      <c r="Q235" s="375">
        <v>616275.65305017156</v>
      </c>
      <c r="R235" s="375">
        <v>796586.24726279976</v>
      </c>
      <c r="S235" s="376">
        <v>767178.65678339696</v>
      </c>
    </row>
    <row r="236" spans="3:19" x14ac:dyDescent="0.35">
      <c r="C236" s="464" t="s">
        <v>487</v>
      </c>
      <c r="D236" s="555"/>
      <c r="E236" s="555"/>
      <c r="F236" s="606"/>
      <c r="G236" s="614"/>
      <c r="H236" s="556"/>
      <c r="I236" s="556"/>
      <c r="J236" s="556"/>
      <c r="K236" s="556"/>
      <c r="L236" s="556"/>
      <c r="M236" s="556"/>
      <c r="N236" s="556"/>
      <c r="O236" s="556"/>
      <c r="P236" s="556"/>
      <c r="Q236" s="556"/>
      <c r="R236" s="556"/>
      <c r="S236" s="377"/>
    </row>
    <row r="237" spans="3:19" x14ac:dyDescent="0.35">
      <c r="C237" s="515" t="s">
        <v>482</v>
      </c>
      <c r="F237" s="239" t="s">
        <v>668</v>
      </c>
      <c r="G237" s="615">
        <v>5020578.1100000003</v>
      </c>
      <c r="H237" s="386">
        <v>5249493.83</v>
      </c>
      <c r="I237" s="386">
        <v>5038436.38</v>
      </c>
      <c r="J237" s="386">
        <v>4835751.32</v>
      </c>
      <c r="K237" s="386">
        <v>4169239.78</v>
      </c>
      <c r="L237" s="386">
        <v>4429744.8600000003</v>
      </c>
      <c r="M237" s="386">
        <v>4870222.05</v>
      </c>
      <c r="N237" s="386">
        <v>7576159.1799999997</v>
      </c>
      <c r="O237" s="386">
        <v>7695606.8200000003</v>
      </c>
      <c r="P237" s="386">
        <v>5852506.9500000002</v>
      </c>
      <c r="Q237" s="386">
        <v>6357684.04</v>
      </c>
      <c r="R237" s="386">
        <v>8989832.8800000008</v>
      </c>
      <c r="S237" s="511">
        <v>9127258.5700000003</v>
      </c>
    </row>
    <row r="238" spans="3:19" x14ac:dyDescent="0.35">
      <c r="C238" s="74" t="s">
        <v>582</v>
      </c>
      <c r="F238" s="31"/>
      <c r="G238" s="597">
        <v>3413993.1148000006</v>
      </c>
      <c r="H238" s="375">
        <v>3569655.8044000003</v>
      </c>
      <c r="I238" s="375">
        <v>3426136.7384000001</v>
      </c>
      <c r="J238" s="375">
        <v>3288310.8976000003</v>
      </c>
      <c r="K238" s="375">
        <v>2835083.0504000001</v>
      </c>
      <c r="L238" s="375">
        <v>3012226.5048000002</v>
      </c>
      <c r="M238" s="375">
        <v>3311750.9939999999</v>
      </c>
      <c r="N238" s="375">
        <v>5151788.2423999999</v>
      </c>
      <c r="O238" s="375">
        <v>5233012.6376000009</v>
      </c>
      <c r="P238" s="375">
        <v>3979704.7260000003</v>
      </c>
      <c r="Q238" s="375">
        <v>4323225.1472000005</v>
      </c>
      <c r="R238" s="375">
        <v>6113086.3584000012</v>
      </c>
      <c r="S238" s="376">
        <v>6206535.8276000004</v>
      </c>
    </row>
    <row r="239" spans="3:19" x14ac:dyDescent="0.35">
      <c r="C239" s="74" t="s">
        <v>583</v>
      </c>
      <c r="F239" s="31"/>
      <c r="G239" s="597">
        <v>1054321.4031</v>
      </c>
      <c r="H239" s="375">
        <v>1102393.7042999999</v>
      </c>
      <c r="I239" s="375">
        <v>1058071.6398</v>
      </c>
      <c r="J239" s="375">
        <v>1015507.7772</v>
      </c>
      <c r="K239" s="375">
        <v>875540.35379999992</v>
      </c>
      <c r="L239" s="375">
        <v>930246.42060000007</v>
      </c>
      <c r="M239" s="375">
        <v>1022746.6305</v>
      </c>
      <c r="N239" s="375">
        <v>1590993.4277999999</v>
      </c>
      <c r="O239" s="375">
        <v>1616077.4321999999</v>
      </c>
      <c r="P239" s="375">
        <v>1229026.4594999999</v>
      </c>
      <c r="Q239" s="375">
        <v>1335113.6484000001</v>
      </c>
      <c r="R239" s="375">
        <v>1887864.9048000001</v>
      </c>
      <c r="S239" s="376">
        <v>1916724.2997000001</v>
      </c>
    </row>
    <row r="240" spans="3:19" x14ac:dyDescent="0.35">
      <c r="C240" s="74" t="s">
        <v>560</v>
      </c>
      <c r="F240" s="31"/>
      <c r="G240" s="597">
        <v>552263.59210000001</v>
      </c>
      <c r="H240" s="375">
        <v>577444.32130000007</v>
      </c>
      <c r="I240" s="375">
        <v>554228.00179999997</v>
      </c>
      <c r="J240" s="375">
        <v>531932.64520000003</v>
      </c>
      <c r="K240" s="375">
        <v>458616.37579999998</v>
      </c>
      <c r="L240" s="375">
        <v>487271.93460000004</v>
      </c>
      <c r="M240" s="375">
        <v>535724.42550000001</v>
      </c>
      <c r="N240" s="375">
        <v>833377.5098</v>
      </c>
      <c r="O240" s="375">
        <v>846516.75020000001</v>
      </c>
      <c r="P240" s="375">
        <v>643775.76450000005</v>
      </c>
      <c r="Q240" s="375">
        <v>699345.24439999997</v>
      </c>
      <c r="R240" s="375">
        <v>988881.61680000008</v>
      </c>
      <c r="S240" s="376">
        <v>1003998.4427</v>
      </c>
    </row>
    <row r="241" spans="3:19" x14ac:dyDescent="0.35">
      <c r="C241" s="437" t="s">
        <v>584</v>
      </c>
      <c r="F241" s="31"/>
      <c r="G241" s="597">
        <v>127020.626183</v>
      </c>
      <c r="H241" s="375">
        <v>132812.19389900001</v>
      </c>
      <c r="I241" s="375">
        <v>127472.440414</v>
      </c>
      <c r="J241" s="375">
        <v>122344.508396</v>
      </c>
      <c r="K241" s="375">
        <v>105481.76643399999</v>
      </c>
      <c r="L241" s="375">
        <v>112072.54495800001</v>
      </c>
      <c r="M241" s="375">
        <v>123216.61786499999</v>
      </c>
      <c r="N241" s="375">
        <v>191676.827254</v>
      </c>
      <c r="O241" s="375">
        <v>194698.85254600001</v>
      </c>
      <c r="P241" s="375">
        <v>148068.425835</v>
      </c>
      <c r="Q241" s="375">
        <v>160849.406212</v>
      </c>
      <c r="R241" s="375">
        <v>227442.77186400001</v>
      </c>
      <c r="S241" s="376">
        <v>230919.641821</v>
      </c>
    </row>
    <row r="242" spans="3:19" x14ac:dyDescent="0.35">
      <c r="C242" s="437" t="s">
        <v>585</v>
      </c>
      <c r="F242" s="31"/>
      <c r="G242" s="597">
        <v>292699.70381300006</v>
      </c>
      <c r="H242" s="375">
        <v>306045.49028900004</v>
      </c>
      <c r="I242" s="375">
        <v>293740.84095400001</v>
      </c>
      <c r="J242" s="375">
        <v>281924.30195600004</v>
      </c>
      <c r="K242" s="375">
        <v>243066.67917400002</v>
      </c>
      <c r="L242" s="375">
        <v>258254.12533800004</v>
      </c>
      <c r="M242" s="375">
        <v>283933.94551500003</v>
      </c>
      <c r="N242" s="375">
        <v>441690.08019400004</v>
      </c>
      <c r="O242" s="375">
        <v>448653.87760600005</v>
      </c>
      <c r="P242" s="375">
        <v>341201.15518500004</v>
      </c>
      <c r="Q242" s="375">
        <v>370652.97953200003</v>
      </c>
      <c r="R242" s="375">
        <v>524107.25690400007</v>
      </c>
      <c r="S242" s="376">
        <v>532119.17463100003</v>
      </c>
    </row>
    <row r="243" spans="3:19" x14ac:dyDescent="0.35">
      <c r="C243" s="437" t="s">
        <v>586</v>
      </c>
      <c r="F243" s="31"/>
      <c r="G243" s="597">
        <v>60748.995131000003</v>
      </c>
      <c r="H243" s="375">
        <v>63518.875343</v>
      </c>
      <c r="I243" s="375">
        <v>60965.080197999996</v>
      </c>
      <c r="J243" s="375">
        <v>58512.590972000005</v>
      </c>
      <c r="K243" s="375">
        <v>50447.801337999997</v>
      </c>
      <c r="L243" s="375">
        <v>53599.912806</v>
      </c>
      <c r="M243" s="375">
        <v>58929.686804999998</v>
      </c>
      <c r="N243" s="375">
        <v>91671.526077999995</v>
      </c>
      <c r="O243" s="375">
        <v>93116.842522000006</v>
      </c>
      <c r="P243" s="375">
        <v>70815.334094999998</v>
      </c>
      <c r="Q243" s="375">
        <v>76927.976884000003</v>
      </c>
      <c r="R243" s="375">
        <v>108776.97784800001</v>
      </c>
      <c r="S243" s="376">
        <v>110439.828697</v>
      </c>
    </row>
    <row r="244" spans="3:19" x14ac:dyDescent="0.35">
      <c r="C244" s="437" t="s">
        <v>587</v>
      </c>
      <c r="F244" s="31"/>
      <c r="G244" s="597">
        <v>38658.451447000007</v>
      </c>
      <c r="H244" s="375">
        <v>40421.102491000005</v>
      </c>
      <c r="I244" s="375">
        <v>38795.960126000005</v>
      </c>
      <c r="J244" s="375">
        <v>37235.285164000008</v>
      </c>
      <c r="K244" s="375">
        <v>32103.146306000002</v>
      </c>
      <c r="L244" s="375">
        <v>34109.035422000008</v>
      </c>
      <c r="M244" s="375">
        <v>37500.709785000006</v>
      </c>
      <c r="N244" s="375">
        <v>58336.42568600001</v>
      </c>
      <c r="O244" s="375">
        <v>59256.172514000013</v>
      </c>
      <c r="P244" s="375">
        <v>45064.303515000007</v>
      </c>
      <c r="Q244" s="375">
        <v>48954.167108000009</v>
      </c>
      <c r="R244" s="375">
        <v>69221.713176000019</v>
      </c>
      <c r="S244" s="376">
        <v>70279.890989000007</v>
      </c>
    </row>
    <row r="245" spans="3:19" x14ac:dyDescent="0.35">
      <c r="C245" s="516" t="s">
        <v>588</v>
      </c>
      <c r="F245" s="31"/>
      <c r="G245" s="616">
        <v>27613.179605000005</v>
      </c>
      <c r="H245" s="380">
        <v>28872.216065000004</v>
      </c>
      <c r="I245" s="380">
        <v>27711.400090000003</v>
      </c>
      <c r="J245" s="380">
        <v>26596.632260000006</v>
      </c>
      <c r="K245" s="380">
        <v>22930.818790000001</v>
      </c>
      <c r="L245" s="380">
        <v>24363.596730000005</v>
      </c>
      <c r="M245" s="380">
        <v>26786.221275</v>
      </c>
      <c r="N245" s="380">
        <v>41668.875490000006</v>
      </c>
      <c r="O245" s="380">
        <v>42325.837510000005</v>
      </c>
      <c r="P245" s="380">
        <v>32188.788225000004</v>
      </c>
      <c r="Q245" s="380">
        <v>34967.262220000004</v>
      </c>
      <c r="R245" s="380">
        <v>49444.08084000001</v>
      </c>
      <c r="S245" s="502">
        <v>50199.922135000008</v>
      </c>
    </row>
    <row r="246" spans="3:19" x14ac:dyDescent="0.35">
      <c r="C246" s="682" t="s">
        <v>277</v>
      </c>
      <c r="D246" s="555"/>
      <c r="E246" s="555"/>
      <c r="F246" s="606"/>
      <c r="G246" s="617">
        <v>603616680.43349504</v>
      </c>
      <c r="H246" s="518">
        <v>680012244.95626426</v>
      </c>
      <c r="I246" s="518">
        <v>669536227.42020941</v>
      </c>
      <c r="J246" s="518">
        <v>637270744.10764241</v>
      </c>
      <c r="K246" s="518">
        <v>559496882.56512475</v>
      </c>
      <c r="L246" s="518">
        <v>520568759.72307551</v>
      </c>
      <c r="M246" s="518">
        <v>570365678.65218472</v>
      </c>
      <c r="N246" s="518">
        <v>652918424.9038136</v>
      </c>
      <c r="O246" s="518">
        <v>649883243.67373967</v>
      </c>
      <c r="P246" s="518">
        <v>518390621.48287261</v>
      </c>
      <c r="Q246" s="518">
        <v>630750705.63018632</v>
      </c>
      <c r="R246" s="518">
        <v>813417746.38822508</v>
      </c>
      <c r="S246" s="519">
        <v>792849321.86289334</v>
      </c>
    </row>
    <row r="247" spans="3:19" x14ac:dyDescent="0.35">
      <c r="C247" s="683" t="s">
        <v>482</v>
      </c>
      <c r="D247" s="73"/>
      <c r="E247" s="73"/>
      <c r="F247" s="565" t="s">
        <v>668</v>
      </c>
      <c r="G247" s="72"/>
      <c r="H247" s="73"/>
      <c r="I247" s="73"/>
      <c r="J247" s="73"/>
      <c r="K247" s="73"/>
      <c r="L247" s="73"/>
      <c r="M247" s="73"/>
      <c r="N247" s="73"/>
      <c r="O247" s="73"/>
      <c r="P247" s="73"/>
      <c r="Q247" s="73"/>
      <c r="R247" s="73"/>
      <c r="S247" s="29"/>
    </row>
    <row r="248" spans="3:19" x14ac:dyDescent="0.35">
      <c r="C248" s="74" t="s">
        <v>673</v>
      </c>
      <c r="F248" s="31"/>
      <c r="G248" s="600">
        <f>G238+G228+G208+G198+G218</f>
        <v>452246961.98190451</v>
      </c>
      <c r="H248" s="600">
        <f t="shared" ref="H248:S248" si="38">H238+H228+H208+H198+H218</f>
        <v>495667624.15077686</v>
      </c>
      <c r="I248" s="600">
        <f t="shared" si="38"/>
        <v>488031551.76947415</v>
      </c>
      <c r="J248" s="600">
        <f t="shared" si="38"/>
        <v>464512923.13559538</v>
      </c>
      <c r="K248" s="600">
        <f t="shared" si="38"/>
        <v>407822789.30676907</v>
      </c>
      <c r="L248" s="600">
        <f t="shared" si="38"/>
        <v>379447697.08617359</v>
      </c>
      <c r="M248" s="600">
        <f t="shared" si="38"/>
        <v>415745161.8431617</v>
      </c>
      <c r="N248" s="600">
        <f t="shared" si="38"/>
        <v>475918671.8132633</v>
      </c>
      <c r="O248" s="600">
        <f t="shared" si="38"/>
        <v>473706298.31508523</v>
      </c>
      <c r="P248" s="600">
        <f t="shared" si="38"/>
        <v>377860030.66604495</v>
      </c>
      <c r="Q248" s="600">
        <f t="shared" si="38"/>
        <v>459760402.8604638</v>
      </c>
      <c r="R248" s="600">
        <f t="shared" si="38"/>
        <v>592908208.32242799</v>
      </c>
      <c r="S248" s="684">
        <f t="shared" si="38"/>
        <v>577915681.06631744</v>
      </c>
    </row>
    <row r="249" spans="3:19" x14ac:dyDescent="0.35">
      <c r="C249" s="74" t="s">
        <v>674</v>
      </c>
      <c r="F249" s="31"/>
      <c r="G249" s="600">
        <f t="shared" ref="G249:S255" si="39">G239+G229+G209+G199+G219</f>
        <v>139664502.96499991</v>
      </c>
      <c r="H249" s="600">
        <f t="shared" si="39"/>
        <v>153073825.10538694</v>
      </c>
      <c r="I249" s="600">
        <f t="shared" si="39"/>
        <v>150715626.28174937</v>
      </c>
      <c r="J249" s="600">
        <f t="shared" si="39"/>
        <v>143452520.38011032</v>
      </c>
      <c r="K249" s="600">
        <f t="shared" si="39"/>
        <v>125945273.16826689</v>
      </c>
      <c r="L249" s="600">
        <f t="shared" si="39"/>
        <v>117182377.0413183</v>
      </c>
      <c r="M249" s="600">
        <f t="shared" si="39"/>
        <v>128391888.21627052</v>
      </c>
      <c r="N249" s="600">
        <f t="shared" si="39"/>
        <v>146974883.94233128</v>
      </c>
      <c r="O249" s="600">
        <f t="shared" si="39"/>
        <v>146291650.95024687</v>
      </c>
      <c r="P249" s="600">
        <f t="shared" si="39"/>
        <v>116692068.29392564</v>
      </c>
      <c r="Q249" s="600">
        <f t="shared" si="39"/>
        <v>141984830.29514322</v>
      </c>
      <c r="R249" s="600">
        <f t="shared" si="39"/>
        <v>183104005.51133803</v>
      </c>
      <c r="S249" s="684">
        <f t="shared" si="39"/>
        <v>178473960.32930389</v>
      </c>
    </row>
    <row r="250" spans="3:19" x14ac:dyDescent="0.35">
      <c r="C250" s="74" t="s">
        <v>560</v>
      </c>
      <c r="F250" s="31"/>
      <c r="G250" s="600">
        <f t="shared" si="39"/>
        <v>73157596.791190431</v>
      </c>
      <c r="H250" s="600">
        <f t="shared" si="39"/>
        <v>80181527.436155066</v>
      </c>
      <c r="I250" s="600">
        <f t="shared" si="39"/>
        <v>78946280.433297276</v>
      </c>
      <c r="J250" s="600">
        <f t="shared" si="39"/>
        <v>75141796.389581606</v>
      </c>
      <c r="K250" s="600">
        <f t="shared" si="39"/>
        <v>65971333.564330287</v>
      </c>
      <c r="L250" s="600">
        <f t="shared" si="39"/>
        <v>61381245.11688102</v>
      </c>
      <c r="M250" s="600">
        <f t="shared" si="39"/>
        <v>67252893.827570274</v>
      </c>
      <c r="N250" s="600">
        <f t="shared" si="39"/>
        <v>76986843.969792575</v>
      </c>
      <c r="O250" s="600">
        <f t="shared" si="39"/>
        <v>76628960.021557897</v>
      </c>
      <c r="P250" s="600">
        <f t="shared" si="39"/>
        <v>61124416.725389622</v>
      </c>
      <c r="Q250" s="600">
        <f t="shared" si="39"/>
        <v>74373006.345075011</v>
      </c>
      <c r="R250" s="600">
        <f t="shared" si="39"/>
        <v>95911621.934510395</v>
      </c>
      <c r="S250" s="684">
        <f t="shared" si="39"/>
        <v>93486360.172492519</v>
      </c>
    </row>
    <row r="251" spans="3:19" x14ac:dyDescent="0.35">
      <c r="C251" s="437" t="s">
        <v>675</v>
      </c>
      <c r="F251" s="31"/>
      <c r="G251" s="600">
        <f t="shared" si="39"/>
        <v>16826247.261973798</v>
      </c>
      <c r="H251" s="600">
        <f t="shared" si="39"/>
        <v>18441751.310315665</v>
      </c>
      <c r="I251" s="600">
        <f t="shared" si="39"/>
        <v>18157644.499658372</v>
      </c>
      <c r="J251" s="600">
        <f t="shared" si="39"/>
        <v>17282613.169603769</v>
      </c>
      <c r="K251" s="600">
        <f t="shared" si="39"/>
        <v>15173406.719795967</v>
      </c>
      <c r="L251" s="600">
        <f t="shared" si="39"/>
        <v>14117686.376882635</v>
      </c>
      <c r="M251" s="600">
        <f t="shared" si="39"/>
        <v>15468165.580341162</v>
      </c>
      <c r="N251" s="600">
        <f t="shared" si="39"/>
        <v>17706974.113052294</v>
      </c>
      <c r="O251" s="600">
        <f t="shared" si="39"/>
        <v>17624660.804958317</v>
      </c>
      <c r="P251" s="600">
        <f t="shared" si="39"/>
        <v>14058615.846839612</v>
      </c>
      <c r="Q251" s="600">
        <f t="shared" si="39"/>
        <v>17105791.459367253</v>
      </c>
      <c r="R251" s="600">
        <f t="shared" si="39"/>
        <v>22059673.044937391</v>
      </c>
      <c r="S251" s="684">
        <f t="shared" si="39"/>
        <v>21501862.839673277</v>
      </c>
    </row>
    <row r="252" spans="3:19" x14ac:dyDescent="0.35">
      <c r="C252" s="437" t="s">
        <v>676</v>
      </c>
      <c r="F252" s="31"/>
      <c r="G252" s="600">
        <f t="shared" si="39"/>
        <v>38773526.299330927</v>
      </c>
      <c r="H252" s="600">
        <f t="shared" si="39"/>
        <v>42496209.541162185</v>
      </c>
      <c r="I252" s="600">
        <f t="shared" si="39"/>
        <v>41841528.62964756</v>
      </c>
      <c r="J252" s="600">
        <f t="shared" si="39"/>
        <v>39825152.086478248</v>
      </c>
      <c r="K252" s="600">
        <f t="shared" si="39"/>
        <v>34964806.789095059</v>
      </c>
      <c r="L252" s="600">
        <f t="shared" si="39"/>
        <v>32532059.911946941</v>
      </c>
      <c r="M252" s="600">
        <f t="shared" si="39"/>
        <v>35644033.728612252</v>
      </c>
      <c r="N252" s="600">
        <f t="shared" si="39"/>
        <v>40803027.303990066</v>
      </c>
      <c r="O252" s="600">
        <f t="shared" si="39"/>
        <v>40613348.811425686</v>
      </c>
      <c r="P252" s="600">
        <f t="shared" si="39"/>
        <v>32395940.864456501</v>
      </c>
      <c r="Q252" s="600">
        <f t="shared" si="39"/>
        <v>39417693.362889767</v>
      </c>
      <c r="R252" s="600">
        <f t="shared" si="39"/>
        <v>50833159.625290513</v>
      </c>
      <c r="S252" s="684">
        <f t="shared" si="39"/>
        <v>49547770.891421042</v>
      </c>
    </row>
    <row r="253" spans="3:19" x14ac:dyDescent="0.35">
      <c r="C253" s="437" t="s">
        <v>677</v>
      </c>
      <c r="F253" s="31"/>
      <c r="G253" s="600">
        <f t="shared" si="39"/>
        <v>8047335.6470309468</v>
      </c>
      <c r="H253" s="600">
        <f t="shared" si="39"/>
        <v>8819968.017977057</v>
      </c>
      <c r="I253" s="600">
        <f t="shared" si="39"/>
        <v>8684090.8476627003</v>
      </c>
      <c r="J253" s="600">
        <f t="shared" si="39"/>
        <v>8265597.6028539762</v>
      </c>
      <c r="K253" s="600">
        <f t="shared" si="39"/>
        <v>7256846.692076331</v>
      </c>
      <c r="L253" s="600">
        <f t="shared" si="39"/>
        <v>6751936.9628569121</v>
      </c>
      <c r="M253" s="600">
        <f t="shared" si="39"/>
        <v>7397818.3210327299</v>
      </c>
      <c r="N253" s="600">
        <f t="shared" si="39"/>
        <v>8468552.8366771825</v>
      </c>
      <c r="O253" s="600">
        <f t="shared" si="39"/>
        <v>8429185.6023713686</v>
      </c>
      <c r="P253" s="600">
        <f t="shared" si="39"/>
        <v>6723685.8397928579</v>
      </c>
      <c r="Q253" s="600">
        <f t="shared" si="39"/>
        <v>8181030.6979582524</v>
      </c>
      <c r="R253" s="600">
        <f t="shared" si="39"/>
        <v>10550278.412796143</v>
      </c>
      <c r="S253" s="684">
        <f t="shared" si="39"/>
        <v>10283499.618974175</v>
      </c>
    </row>
    <row r="254" spans="3:19" x14ac:dyDescent="0.35">
      <c r="C254" s="437" t="s">
        <v>678</v>
      </c>
      <c r="F254" s="31"/>
      <c r="G254" s="600">
        <f t="shared" si="39"/>
        <v>5121031.7753833309</v>
      </c>
      <c r="H254" s="600">
        <f t="shared" si="39"/>
        <v>5612706.9205308557</v>
      </c>
      <c r="I254" s="600">
        <f t="shared" si="39"/>
        <v>5526239.6303308103</v>
      </c>
      <c r="J254" s="600">
        <f t="shared" si="39"/>
        <v>5259925.7472707126</v>
      </c>
      <c r="K254" s="600">
        <f t="shared" si="39"/>
        <v>4617993.3495031204</v>
      </c>
      <c r="L254" s="600">
        <f t="shared" si="39"/>
        <v>4296687.158181672</v>
      </c>
      <c r="M254" s="600">
        <f t="shared" si="39"/>
        <v>4707702.5679299198</v>
      </c>
      <c r="N254" s="600">
        <f t="shared" si="39"/>
        <v>5389079.0778854815</v>
      </c>
      <c r="O254" s="600">
        <f t="shared" si="39"/>
        <v>5364027.2015090538</v>
      </c>
      <c r="P254" s="600">
        <f t="shared" si="39"/>
        <v>4278709.1707772743</v>
      </c>
      <c r="Q254" s="600">
        <f t="shared" si="39"/>
        <v>5206110.4441552516</v>
      </c>
      <c r="R254" s="600">
        <f t="shared" si="39"/>
        <v>6713813.5354157286</v>
      </c>
      <c r="S254" s="684">
        <f t="shared" si="39"/>
        <v>6544045.2120744763</v>
      </c>
    </row>
    <row r="255" spans="3:19" x14ac:dyDescent="0.35">
      <c r="C255" s="438" t="s">
        <v>679</v>
      </c>
      <c r="D255" s="100"/>
      <c r="E255" s="100"/>
      <c r="F255" s="33"/>
      <c r="G255" s="506">
        <f t="shared" si="39"/>
        <v>3657879.8395595215</v>
      </c>
      <c r="H255" s="506">
        <f t="shared" si="39"/>
        <v>4009076.371807754</v>
      </c>
      <c r="I255" s="506">
        <f t="shared" si="39"/>
        <v>3947314.0216648648</v>
      </c>
      <c r="J255" s="506">
        <f t="shared" si="39"/>
        <v>3757089.8194790799</v>
      </c>
      <c r="K255" s="506">
        <f t="shared" si="39"/>
        <v>3298566.6782165146</v>
      </c>
      <c r="L255" s="506">
        <f t="shared" si="39"/>
        <v>3069062.2558440515</v>
      </c>
      <c r="M255" s="506">
        <f t="shared" si="39"/>
        <v>3362644.6913785143</v>
      </c>
      <c r="N255" s="506">
        <f t="shared" si="39"/>
        <v>3849342.1984896292</v>
      </c>
      <c r="O255" s="506">
        <f t="shared" si="39"/>
        <v>3831448.0010778951</v>
      </c>
      <c r="P255" s="506">
        <f t="shared" si="39"/>
        <v>3056220.8362694811</v>
      </c>
      <c r="Q255" s="506">
        <f t="shared" si="39"/>
        <v>3718650.3172537512</v>
      </c>
      <c r="R255" s="506">
        <f t="shared" si="39"/>
        <v>4795581.0967255207</v>
      </c>
      <c r="S255" s="685">
        <f t="shared" si="39"/>
        <v>4674318.0086246263</v>
      </c>
    </row>
    <row r="258" spans="3:19" x14ac:dyDescent="0.35">
      <c r="C258" s="15" t="s">
        <v>680</v>
      </c>
    </row>
    <row r="260" spans="3:19" x14ac:dyDescent="0.35">
      <c r="C260" s="461" t="s">
        <v>475</v>
      </c>
      <c r="D260" s="390"/>
      <c r="E260" s="73"/>
      <c r="F260" s="29"/>
      <c r="G260" s="418">
        <v>2011</v>
      </c>
      <c r="H260" s="419">
        <v>2012</v>
      </c>
      <c r="I260" s="419">
        <v>2013</v>
      </c>
      <c r="J260" s="419">
        <v>2014</v>
      </c>
      <c r="K260" s="419">
        <v>2015</v>
      </c>
      <c r="L260" s="419">
        <v>2016</v>
      </c>
      <c r="M260" s="419">
        <v>2017</v>
      </c>
      <c r="N260" s="419">
        <v>2018</v>
      </c>
      <c r="O260" s="419">
        <v>2019</v>
      </c>
      <c r="P260" s="419">
        <v>2020</v>
      </c>
      <c r="Q260" s="419">
        <v>2021</v>
      </c>
      <c r="R260" s="419">
        <v>2022</v>
      </c>
      <c r="S260" s="420">
        <v>2023</v>
      </c>
    </row>
    <row r="261" spans="3:19" x14ac:dyDescent="0.35">
      <c r="C261" s="464" t="s">
        <v>476</v>
      </c>
      <c r="D261" s="555"/>
      <c r="E261" s="555"/>
      <c r="F261" s="606"/>
      <c r="G261" s="464"/>
      <c r="H261" s="555"/>
      <c r="I261" s="555"/>
      <c r="J261" s="555"/>
      <c r="K261" s="555"/>
      <c r="L261" s="555"/>
      <c r="M261" s="555"/>
      <c r="N261" s="555"/>
      <c r="O261" s="555"/>
      <c r="P261" s="555"/>
      <c r="Q261" s="555"/>
      <c r="R261" s="555"/>
      <c r="S261" s="369"/>
    </row>
    <row r="262" spans="3:19" x14ac:dyDescent="0.35">
      <c r="C262" s="510" t="s">
        <v>482</v>
      </c>
      <c r="D262" s="379"/>
      <c r="F262" s="239" t="s">
        <v>668</v>
      </c>
      <c r="G262" s="611"/>
      <c r="H262" s="610"/>
      <c r="I262" s="610"/>
      <c r="J262" s="610"/>
      <c r="K262" s="610"/>
      <c r="L262" s="610"/>
      <c r="M262" s="610"/>
      <c r="N262" s="610"/>
      <c r="O262" s="610"/>
      <c r="P262" s="610"/>
      <c r="Q262" s="610"/>
      <c r="R262" s="610"/>
      <c r="S262" s="612"/>
    </row>
    <row r="263" spans="3:19" x14ac:dyDescent="0.35">
      <c r="C263" s="74" t="s">
        <v>582</v>
      </c>
      <c r="D263" s="379"/>
      <c r="E263" s="379"/>
      <c r="F263" s="31" t="s">
        <v>681</v>
      </c>
      <c r="G263" s="597">
        <f>G198/G$71</f>
        <v>159378063.41650504</v>
      </c>
      <c r="H263" s="597">
        <f t="shared" ref="H263:S263" si="40">H198/H$71</f>
        <v>164797584.4507814</v>
      </c>
      <c r="I263" s="597">
        <f t="shared" si="40"/>
        <v>166342299.06003276</v>
      </c>
      <c r="J263" s="597">
        <f t="shared" si="40"/>
        <v>166685153.88265449</v>
      </c>
      <c r="K263" s="597">
        <f t="shared" si="40"/>
        <v>161328888.32133451</v>
      </c>
      <c r="L263" s="597">
        <f t="shared" si="40"/>
        <v>153698919.63680744</v>
      </c>
      <c r="M263" s="597">
        <f t="shared" si="40"/>
        <v>146029979.51509041</v>
      </c>
      <c r="N263" s="597">
        <f t="shared" si="40"/>
        <v>140146513.49496615</v>
      </c>
      <c r="O263" s="597">
        <f t="shared" si="40"/>
        <v>137511896.0504958</v>
      </c>
      <c r="P263" s="597">
        <f t="shared" si="40"/>
        <v>124481742.18098977</v>
      </c>
      <c r="Q263" s="597">
        <f t="shared" si="40"/>
        <v>132843028.49196438</v>
      </c>
      <c r="R263" s="597">
        <f t="shared" si="40"/>
        <v>127961752.00498834</v>
      </c>
      <c r="S263" s="667">
        <f t="shared" si="40"/>
        <v>131439908.69232309</v>
      </c>
    </row>
    <row r="264" spans="3:19" x14ac:dyDescent="0.35">
      <c r="C264" s="74" t="s">
        <v>583</v>
      </c>
      <c r="D264" s="379"/>
      <c r="E264" s="379"/>
      <c r="F264" s="31" t="s">
        <v>681</v>
      </c>
      <c r="G264" s="597">
        <f>G199/G$75</f>
        <v>43286700.888021521</v>
      </c>
      <c r="H264" s="597">
        <f t="shared" ref="H264:S264" si="41">H199/H$75</f>
        <v>44621220.471962124</v>
      </c>
      <c r="I264" s="597">
        <f t="shared" si="41"/>
        <v>44304753.773597725</v>
      </c>
      <c r="J264" s="597">
        <f t="shared" si="41"/>
        <v>43691299.993325904</v>
      </c>
      <c r="K264" s="597">
        <f t="shared" si="41"/>
        <v>41374807.629338808</v>
      </c>
      <c r="L264" s="597">
        <f t="shared" si="41"/>
        <v>39359849.069311917</v>
      </c>
      <c r="M264" s="597">
        <f t="shared" si="41"/>
        <v>39425620.535923429</v>
      </c>
      <c r="N264" s="597">
        <f t="shared" si="41"/>
        <v>40439752.447470874</v>
      </c>
      <c r="O264" s="597">
        <f t="shared" si="41"/>
        <v>39771809.348237813</v>
      </c>
      <c r="P264" s="597">
        <f t="shared" si="41"/>
        <v>34921605.17059771</v>
      </c>
      <c r="Q264" s="597">
        <f t="shared" si="41"/>
        <v>37090299.114353068</v>
      </c>
      <c r="R264" s="597">
        <f t="shared" si="41"/>
        <v>39721928.481772013</v>
      </c>
      <c r="S264" s="667">
        <f t="shared" si="41"/>
        <v>38122532.123881035</v>
      </c>
    </row>
    <row r="265" spans="3:19" x14ac:dyDescent="0.35">
      <c r="C265" s="74" t="s">
        <v>560</v>
      </c>
      <c r="D265" s="379"/>
      <c r="E265" s="379"/>
      <c r="F265" s="31"/>
      <c r="G265" s="597"/>
      <c r="H265" s="375"/>
      <c r="I265" s="375"/>
      <c r="J265" s="375"/>
      <c r="K265" s="375"/>
      <c r="L265" s="375"/>
      <c r="M265" s="375"/>
      <c r="N265" s="375"/>
      <c r="O265" s="375"/>
      <c r="P265" s="375"/>
      <c r="Q265" s="375"/>
      <c r="R265" s="375"/>
      <c r="S265" s="376"/>
    </row>
    <row r="266" spans="3:19" x14ac:dyDescent="0.35">
      <c r="C266" s="437" t="s">
        <v>584</v>
      </c>
      <c r="D266" s="379"/>
      <c r="E266" s="379"/>
      <c r="F266" s="31" t="s">
        <v>681</v>
      </c>
      <c r="G266" s="597">
        <f>G201/G$76</f>
        <v>9272704.8438287918</v>
      </c>
      <c r="H266" s="597">
        <f t="shared" ref="H266:S266" si="42">H201/H$76</f>
        <v>9700323.0634420197</v>
      </c>
      <c r="I266" s="597">
        <f t="shared" si="42"/>
        <v>9570477.9914340694</v>
      </c>
      <c r="J266" s="597">
        <f t="shared" si="42"/>
        <v>9309088.8063765671</v>
      </c>
      <c r="K266" s="597">
        <f t="shared" si="42"/>
        <v>8769966.0909548588</v>
      </c>
      <c r="L266" s="597">
        <f t="shared" si="42"/>
        <v>8913388.1176866312</v>
      </c>
      <c r="M266" s="597">
        <f t="shared" si="42"/>
        <v>9022915.3810127601</v>
      </c>
      <c r="N266" s="597">
        <f t="shared" si="42"/>
        <v>9127004.9687748607</v>
      </c>
      <c r="O266" s="597">
        <f t="shared" si="42"/>
        <v>8606037.1940978002</v>
      </c>
      <c r="P266" s="597">
        <f t="shared" si="42"/>
        <v>6906613.2796439873</v>
      </c>
      <c r="Q266" s="597">
        <f t="shared" si="42"/>
        <v>8282576.5902437177</v>
      </c>
      <c r="R266" s="597">
        <f t="shared" si="42"/>
        <v>10414492.359987808</v>
      </c>
      <c r="S266" s="667">
        <f t="shared" si="42"/>
        <v>8954309.0520729143</v>
      </c>
    </row>
    <row r="267" spans="3:19" x14ac:dyDescent="0.35">
      <c r="C267" s="437" t="s">
        <v>585</v>
      </c>
      <c r="D267" s="379"/>
      <c r="E267" s="379"/>
      <c r="F267" s="31" t="s">
        <v>682</v>
      </c>
      <c r="G267" s="597">
        <f>G202/G$13</f>
        <v>199648.99236228139</v>
      </c>
      <c r="H267" s="597">
        <f t="shared" ref="H267:S267" si="43">H202/H$13</f>
        <v>209073.54599811079</v>
      </c>
      <c r="I267" s="597">
        <f t="shared" si="43"/>
        <v>190601.09907883237</v>
      </c>
      <c r="J267" s="597">
        <f t="shared" si="43"/>
        <v>172999.32386285852</v>
      </c>
      <c r="K267" s="597">
        <f t="shared" si="43"/>
        <v>144524.04824445589</v>
      </c>
      <c r="L267" s="597">
        <f t="shared" si="43"/>
        <v>140343.11413364002</v>
      </c>
      <c r="M267" s="597">
        <f t="shared" si="43"/>
        <v>143379.46297856612</v>
      </c>
      <c r="N267" s="597">
        <f t="shared" si="43"/>
        <v>159193.53328911023</v>
      </c>
      <c r="O267" s="597">
        <f t="shared" si="43"/>
        <v>145460.37063885623</v>
      </c>
      <c r="P267" s="597">
        <f t="shared" si="43"/>
        <v>114386.32364632591</v>
      </c>
      <c r="Q267" s="597">
        <f t="shared" si="43"/>
        <v>135002.75994979273</v>
      </c>
      <c r="R267" s="597">
        <f t="shared" si="43"/>
        <v>145639.43823538712</v>
      </c>
      <c r="S267" s="667">
        <f t="shared" si="43"/>
        <v>82083.650796303322</v>
      </c>
    </row>
    <row r="268" spans="3:19" ht="15" customHeight="1" x14ac:dyDescent="0.35">
      <c r="C268" s="437" t="s">
        <v>586</v>
      </c>
      <c r="D268" s="379"/>
      <c r="E268" s="379"/>
      <c r="F268" s="31" t="s">
        <v>682</v>
      </c>
      <c r="G268" s="597">
        <f>G203/G$31</f>
        <v>95803.607192869065</v>
      </c>
      <c r="H268" s="597">
        <f t="shared" ref="H268:S268" si="44">H203/H$31</f>
        <v>96867.185497319821</v>
      </c>
      <c r="I268" s="597">
        <f t="shared" si="44"/>
        <v>94653.835696401104</v>
      </c>
      <c r="J268" s="597">
        <f t="shared" si="44"/>
        <v>94105.195264348338</v>
      </c>
      <c r="K268" s="597">
        <f t="shared" si="44"/>
        <v>84433.320511134254</v>
      </c>
      <c r="L268" s="597">
        <f t="shared" si="44"/>
        <v>81848.737510787847</v>
      </c>
      <c r="M268" s="597">
        <f t="shared" si="44"/>
        <v>89516.35243489065</v>
      </c>
      <c r="N268" s="597">
        <f t="shared" si="44"/>
        <v>91500.909403188998</v>
      </c>
      <c r="O268" s="597">
        <f t="shared" si="44"/>
        <v>89532.084654776147</v>
      </c>
      <c r="P268" s="597">
        <f t="shared" si="44"/>
        <v>76710.636133646549</v>
      </c>
      <c r="Q268" s="597">
        <f t="shared" si="44"/>
        <v>75530.596041197423</v>
      </c>
      <c r="R268" s="597">
        <f t="shared" si="44"/>
        <v>58831.483713212234</v>
      </c>
      <c r="S268" s="667">
        <f t="shared" si="44"/>
        <v>48478.986423593589</v>
      </c>
    </row>
    <row r="269" spans="3:19" x14ac:dyDescent="0.35">
      <c r="C269" s="437" t="s">
        <v>587</v>
      </c>
      <c r="D269" s="379"/>
      <c r="E269" s="379"/>
      <c r="F269" s="31" t="s">
        <v>682</v>
      </c>
      <c r="G269" s="597">
        <f>G204/G$31</f>
        <v>60965.93185000759</v>
      </c>
      <c r="H269" s="597">
        <f t="shared" ref="H269:S269" si="45">H204/H$31</f>
        <v>61642.754407385357</v>
      </c>
      <c r="I269" s="597">
        <f t="shared" si="45"/>
        <v>60234.25907952799</v>
      </c>
      <c r="J269" s="597">
        <f t="shared" si="45"/>
        <v>59885.12425913076</v>
      </c>
      <c r="K269" s="597">
        <f t="shared" si="45"/>
        <v>53730.294870721802</v>
      </c>
      <c r="L269" s="597">
        <f t="shared" si="45"/>
        <v>52085.560234137731</v>
      </c>
      <c r="M269" s="597">
        <f t="shared" si="45"/>
        <v>56964.951549475874</v>
      </c>
      <c r="N269" s="597">
        <f t="shared" si="45"/>
        <v>58227.851438393016</v>
      </c>
      <c r="O269" s="597">
        <f t="shared" si="45"/>
        <v>56974.962962130288</v>
      </c>
      <c r="P269" s="597">
        <f t="shared" si="45"/>
        <v>48815.859357775094</v>
      </c>
      <c r="Q269" s="597">
        <f t="shared" si="45"/>
        <v>48064.924753489286</v>
      </c>
      <c r="R269" s="597">
        <f t="shared" si="45"/>
        <v>37438.216908407798</v>
      </c>
      <c r="S269" s="667">
        <f t="shared" si="45"/>
        <v>30850.26408774138</v>
      </c>
    </row>
    <row r="270" spans="3:19" x14ac:dyDescent="0.35">
      <c r="C270" s="437" t="s">
        <v>588</v>
      </c>
      <c r="D270" s="379"/>
      <c r="E270" s="379"/>
      <c r="F270" s="31" t="s">
        <v>681</v>
      </c>
      <c r="G270" s="597">
        <f>G205/G$75</f>
        <v>1133699.3089719925</v>
      </c>
      <c r="H270" s="597">
        <f t="shared" ref="H270:S270" si="46">H205/H$75</f>
        <v>1168651.012360913</v>
      </c>
      <c r="I270" s="597">
        <f t="shared" si="46"/>
        <v>1160362.5988323216</v>
      </c>
      <c r="J270" s="597">
        <f t="shared" si="46"/>
        <v>1144295.9522061548</v>
      </c>
      <c r="K270" s="597">
        <f t="shared" si="46"/>
        <v>1083625.9141017308</v>
      </c>
      <c r="L270" s="597">
        <f t="shared" si="46"/>
        <v>1030853.1899105504</v>
      </c>
      <c r="M270" s="597">
        <f t="shared" si="46"/>
        <v>1032575.7759408519</v>
      </c>
      <c r="N270" s="597">
        <f t="shared" si="46"/>
        <v>1059136.3736242373</v>
      </c>
      <c r="O270" s="597">
        <f t="shared" si="46"/>
        <v>1041642.6257871811</v>
      </c>
      <c r="P270" s="597">
        <f t="shared" si="46"/>
        <v>914613.46875374962</v>
      </c>
      <c r="Q270" s="597">
        <f t="shared" si="46"/>
        <v>971412.59585210425</v>
      </c>
      <c r="R270" s="597">
        <f t="shared" si="46"/>
        <v>1040336.2221416481</v>
      </c>
      <c r="S270" s="667">
        <f t="shared" si="46"/>
        <v>998447.26991117012</v>
      </c>
    </row>
    <row r="271" spans="3:19" x14ac:dyDescent="0.35">
      <c r="C271" s="464" t="s">
        <v>484</v>
      </c>
      <c r="D271" s="555"/>
      <c r="E271" s="555"/>
      <c r="F271" s="606"/>
      <c r="G271" s="614"/>
      <c r="H271" s="556"/>
      <c r="I271" s="556"/>
      <c r="J271" s="556"/>
      <c r="K271" s="556"/>
      <c r="L271" s="556"/>
      <c r="M271" s="556"/>
      <c r="N271" s="556"/>
      <c r="O271" s="556"/>
      <c r="P271" s="556"/>
      <c r="Q271" s="556"/>
      <c r="R271" s="556"/>
      <c r="S271" s="377"/>
    </row>
    <row r="272" spans="3:19" x14ac:dyDescent="0.35">
      <c r="C272" s="515" t="s">
        <v>482</v>
      </c>
      <c r="D272" s="379"/>
      <c r="F272" s="239" t="s">
        <v>668</v>
      </c>
      <c r="G272" s="615"/>
      <c r="H272" s="386"/>
      <c r="I272" s="386"/>
      <c r="J272" s="386"/>
      <c r="K272" s="386"/>
      <c r="L272" s="386"/>
      <c r="M272" s="386"/>
      <c r="N272" s="386"/>
      <c r="O272" s="386"/>
      <c r="P272" s="386"/>
      <c r="Q272" s="386"/>
      <c r="R272" s="386"/>
      <c r="S272" s="511"/>
    </row>
    <row r="273" spans="3:19" x14ac:dyDescent="0.35">
      <c r="C273" s="74" t="s">
        <v>582</v>
      </c>
      <c r="D273" s="379"/>
      <c r="F273" s="31" t="s">
        <v>681</v>
      </c>
      <c r="G273" s="597">
        <f>G208/G$71</f>
        <v>75971720.105534062</v>
      </c>
      <c r="H273" s="597">
        <f t="shared" ref="H273:S273" si="47">H208/H$71</f>
        <v>80868011.496200278</v>
      </c>
      <c r="I273" s="597">
        <f t="shared" si="47"/>
        <v>82617565.329780608</v>
      </c>
      <c r="J273" s="597">
        <f t="shared" si="47"/>
        <v>86896258.49826473</v>
      </c>
      <c r="K273" s="597">
        <f t="shared" si="47"/>
        <v>87011733.016743571</v>
      </c>
      <c r="L273" s="597">
        <f t="shared" si="47"/>
        <v>86944972.521674782</v>
      </c>
      <c r="M273" s="597">
        <f t="shared" si="47"/>
        <v>93434446.387797281</v>
      </c>
      <c r="N273" s="597">
        <f t="shared" si="47"/>
        <v>93159533.83168745</v>
      </c>
      <c r="O273" s="597">
        <f t="shared" si="47"/>
        <v>94798057.895761609</v>
      </c>
      <c r="P273" s="597">
        <f t="shared" si="47"/>
        <v>89065004.000587687</v>
      </c>
      <c r="Q273" s="597">
        <f t="shared" si="47"/>
        <v>92861952.605365783</v>
      </c>
      <c r="R273" s="597">
        <f t="shared" si="47"/>
        <v>95733948.004043534</v>
      </c>
      <c r="S273" s="667">
        <f t="shared" si="47"/>
        <v>94310378.132959336</v>
      </c>
    </row>
    <row r="274" spans="3:19" x14ac:dyDescent="0.35">
      <c r="C274" s="74" t="s">
        <v>583</v>
      </c>
      <c r="D274" s="379"/>
      <c r="F274" s="31" t="s">
        <v>681</v>
      </c>
      <c r="G274" s="597">
        <f>G209/G$75</f>
        <v>20633737.502272747</v>
      </c>
      <c r="H274" s="597">
        <f t="shared" ref="H274:S274" si="48">H209/H$75</f>
        <v>21896130.226221956</v>
      </c>
      <c r="I274" s="597">
        <f t="shared" si="48"/>
        <v>22004931.457566526</v>
      </c>
      <c r="J274" s="597">
        <f t="shared" si="48"/>
        <v>22777136.475022092</v>
      </c>
      <c r="K274" s="597">
        <f t="shared" si="48"/>
        <v>22315245.288819537</v>
      </c>
      <c r="L274" s="597">
        <f t="shared" si="48"/>
        <v>22265224.79061763</v>
      </c>
      <c r="M274" s="597">
        <f t="shared" si="48"/>
        <v>25225717.626624133</v>
      </c>
      <c r="N274" s="597">
        <f t="shared" si="48"/>
        <v>26881499.884123381</v>
      </c>
      <c r="O274" s="597">
        <f t="shared" si="48"/>
        <v>27417920.874488935</v>
      </c>
      <c r="P274" s="597">
        <f t="shared" si="48"/>
        <v>24985936.489417292</v>
      </c>
      <c r="Q274" s="597">
        <f t="shared" si="48"/>
        <v>25927424.551934525</v>
      </c>
      <c r="R274" s="597">
        <f t="shared" si="48"/>
        <v>29717763.130861603</v>
      </c>
      <c r="S274" s="667">
        <f t="shared" si="48"/>
        <v>27353567.540929835</v>
      </c>
    </row>
    <row r="275" spans="3:19" x14ac:dyDescent="0.35">
      <c r="C275" s="74" t="s">
        <v>560</v>
      </c>
      <c r="D275" s="379"/>
      <c r="F275" s="31"/>
      <c r="G275" s="597"/>
      <c r="H275" s="375"/>
      <c r="I275" s="375"/>
      <c r="J275" s="375"/>
      <c r="K275" s="375"/>
      <c r="L275" s="375"/>
      <c r="M275" s="375"/>
      <c r="N275" s="375"/>
      <c r="O275" s="375"/>
      <c r="P275" s="375"/>
      <c r="Q275" s="375"/>
      <c r="R275" s="375"/>
      <c r="S275" s="376"/>
    </row>
    <row r="276" spans="3:19" x14ac:dyDescent="0.35">
      <c r="C276" s="437" t="s">
        <v>584</v>
      </c>
      <c r="D276" s="379"/>
      <c r="F276" s="31" t="s">
        <v>681</v>
      </c>
      <c r="G276" s="597">
        <f>G211/G$76</f>
        <v>4420077.154379813</v>
      </c>
      <c r="H276" s="597">
        <f t="shared" ref="H276:S276" si="49">H211/H$76</f>
        <v>4760056.6454028906</v>
      </c>
      <c r="I276" s="597">
        <f t="shared" si="49"/>
        <v>4753388.6158996318</v>
      </c>
      <c r="J276" s="597">
        <f t="shared" si="49"/>
        <v>4853011.6117700562</v>
      </c>
      <c r="K276" s="597">
        <f t="shared" si="49"/>
        <v>4730026.6927528661</v>
      </c>
      <c r="L276" s="597">
        <f t="shared" si="49"/>
        <v>5042158.3105369974</v>
      </c>
      <c r="M276" s="597">
        <f t="shared" si="49"/>
        <v>5773137.1751767527</v>
      </c>
      <c r="N276" s="597">
        <f t="shared" si="49"/>
        <v>6066990.2302000644</v>
      </c>
      <c r="O276" s="597">
        <f t="shared" si="49"/>
        <v>5932836.6171285855</v>
      </c>
      <c r="P276" s="597">
        <f t="shared" si="49"/>
        <v>4941588.4498758614</v>
      </c>
      <c r="Q276" s="597">
        <f t="shared" si="49"/>
        <v>5789812.5592646282</v>
      </c>
      <c r="R276" s="597">
        <f t="shared" si="49"/>
        <v>7791550.6349171801</v>
      </c>
      <c r="S276" s="667">
        <f t="shared" si="49"/>
        <v>6424869.5926680937</v>
      </c>
    </row>
    <row r="277" spans="3:19" x14ac:dyDescent="0.35">
      <c r="C277" s="437" t="s">
        <v>585</v>
      </c>
      <c r="D277" s="379"/>
      <c r="F277" s="31" t="s">
        <v>682</v>
      </c>
      <c r="G277" s="597">
        <f>G212/G$13</f>
        <v>95167.911078585748</v>
      </c>
      <c r="H277" s="597">
        <f t="shared" ref="H277:S277" si="50">H212/H$13</f>
        <v>102594.71931990696</v>
      </c>
      <c r="I277" s="597">
        <f t="shared" si="50"/>
        <v>94666.232486003719</v>
      </c>
      <c r="J277" s="597">
        <f t="shared" si="50"/>
        <v>90187.959852712069</v>
      </c>
      <c r="K277" s="597">
        <f t="shared" si="50"/>
        <v>77948.14698839387</v>
      </c>
      <c r="L277" s="597">
        <f t="shared" si="50"/>
        <v>79389.811137185548</v>
      </c>
      <c r="M277" s="597">
        <f t="shared" si="50"/>
        <v>91738.564856797981</v>
      </c>
      <c r="N277" s="597">
        <f t="shared" si="50"/>
        <v>105820.65140539806</v>
      </c>
      <c r="O277" s="597">
        <f t="shared" si="50"/>
        <v>100277.58349210485</v>
      </c>
      <c r="P277" s="597">
        <f t="shared" si="50"/>
        <v>81841.868491525398</v>
      </c>
      <c r="Q277" s="597">
        <f t="shared" si="50"/>
        <v>94371.680910673909</v>
      </c>
      <c r="R277" s="597">
        <f t="shared" si="50"/>
        <v>108959.42099027477</v>
      </c>
      <c r="S277" s="667">
        <f t="shared" si="50"/>
        <v>58896.420593643452</v>
      </c>
    </row>
    <row r="278" spans="3:19" x14ac:dyDescent="0.35">
      <c r="C278" s="437" t="s">
        <v>586</v>
      </c>
      <c r="D278" s="379"/>
      <c r="F278" s="31" t="s">
        <v>682</v>
      </c>
      <c r="G278" s="597">
        <f>G213/G$31</f>
        <v>45667.29369609995</v>
      </c>
      <c r="H278" s="597">
        <f t="shared" ref="H278:S278" si="51">H213/H$31</f>
        <v>47533.807588917494</v>
      </c>
      <c r="I278" s="597">
        <f t="shared" si="51"/>
        <v>47011.911573612932</v>
      </c>
      <c r="J278" s="597">
        <f t="shared" si="51"/>
        <v>49058.894468054023</v>
      </c>
      <c r="K278" s="597">
        <f t="shared" si="51"/>
        <v>45538.586538815245</v>
      </c>
      <c r="L278" s="597">
        <f t="shared" si="51"/>
        <v>46300.496129870116</v>
      </c>
      <c r="M278" s="597">
        <f t="shared" si="51"/>
        <v>57275.299634926319</v>
      </c>
      <c r="N278" s="597">
        <f t="shared" si="51"/>
        <v>60823.361584965372</v>
      </c>
      <c r="O278" s="597">
        <f t="shared" si="51"/>
        <v>61721.698183224908</v>
      </c>
      <c r="P278" s="597">
        <f t="shared" si="51"/>
        <v>54885.423311292965</v>
      </c>
      <c r="Q278" s="597">
        <f t="shared" si="51"/>
        <v>52798.545090809741</v>
      </c>
      <c r="R278" s="597">
        <f t="shared" si="51"/>
        <v>44014.481785008975</v>
      </c>
      <c r="S278" s="667">
        <f t="shared" si="51"/>
        <v>34784.500283046458</v>
      </c>
    </row>
    <row r="279" spans="3:19" x14ac:dyDescent="0.35">
      <c r="C279" s="437" t="s">
        <v>587</v>
      </c>
      <c r="D279" s="379"/>
      <c r="F279" s="31" t="s">
        <v>682</v>
      </c>
      <c r="G279" s="597">
        <f>G214/G$31</f>
        <v>29061.005079336333</v>
      </c>
      <c r="H279" s="597">
        <f t="shared" ref="H279:S279" si="52">H214/H$31</f>
        <v>30248.786647492954</v>
      </c>
      <c r="I279" s="597">
        <f t="shared" si="52"/>
        <v>29916.671001390056</v>
      </c>
      <c r="J279" s="597">
        <f t="shared" si="52"/>
        <v>31219.296479670742</v>
      </c>
      <c r="K279" s="597">
        <f t="shared" si="52"/>
        <v>28979.100524700618</v>
      </c>
      <c r="L279" s="597">
        <f t="shared" si="52"/>
        <v>29463.952082644624</v>
      </c>
      <c r="M279" s="597">
        <f t="shared" si="52"/>
        <v>36447.917949498573</v>
      </c>
      <c r="N279" s="597">
        <f t="shared" si="52"/>
        <v>38705.775554068881</v>
      </c>
      <c r="O279" s="597">
        <f t="shared" si="52"/>
        <v>39277.44429841586</v>
      </c>
      <c r="P279" s="597">
        <f t="shared" si="52"/>
        <v>34927.087561731896</v>
      </c>
      <c r="Q279" s="597">
        <f t="shared" si="52"/>
        <v>33599.074148697109</v>
      </c>
      <c r="R279" s="597">
        <f t="shared" si="52"/>
        <v>28009.215681369351</v>
      </c>
      <c r="S279" s="667">
        <f t="shared" si="52"/>
        <v>22135.591089211386</v>
      </c>
    </row>
    <row r="280" spans="3:19" x14ac:dyDescent="0.35">
      <c r="C280" s="437" t="s">
        <v>588</v>
      </c>
      <c r="D280" s="379"/>
      <c r="F280" s="31" t="s">
        <v>681</v>
      </c>
      <c r="G280" s="597">
        <f>G215/G$75</f>
        <v>540407.41077381012</v>
      </c>
      <c r="H280" s="597">
        <f t="shared" ref="H280:S280" si="53">H215/H$75</f>
        <v>573470.07735343231</v>
      </c>
      <c r="I280" s="597">
        <f t="shared" si="53"/>
        <v>576319.63341245672</v>
      </c>
      <c r="J280" s="597">
        <f t="shared" si="53"/>
        <v>596544.05053629295</v>
      </c>
      <c r="K280" s="597">
        <f t="shared" si="53"/>
        <v>584446.90042146412</v>
      </c>
      <c r="L280" s="597">
        <f t="shared" si="53"/>
        <v>583136.83975427132</v>
      </c>
      <c r="M280" s="597">
        <f t="shared" si="53"/>
        <v>660673.55688777508</v>
      </c>
      <c r="N280" s="597">
        <f t="shared" si="53"/>
        <v>704039.28267942206</v>
      </c>
      <c r="O280" s="597">
        <f t="shared" si="53"/>
        <v>718088.40385566268</v>
      </c>
      <c r="P280" s="597">
        <f t="shared" si="53"/>
        <v>654393.57472283393</v>
      </c>
      <c r="Q280" s="597">
        <f t="shared" si="53"/>
        <v>679051.59540780913</v>
      </c>
      <c r="R280" s="597">
        <f t="shared" si="53"/>
        <v>778322.36771304207</v>
      </c>
      <c r="S280" s="667">
        <f t="shared" si="53"/>
        <v>716402.95940530521</v>
      </c>
    </row>
    <row r="281" spans="3:19" x14ac:dyDescent="0.35">
      <c r="C281" s="464" t="s">
        <v>485</v>
      </c>
      <c r="D281" s="555"/>
      <c r="E281" s="555"/>
      <c r="F281" s="606"/>
      <c r="G281" s="614"/>
      <c r="H281" s="556"/>
      <c r="I281" s="556"/>
      <c r="J281" s="556"/>
      <c r="K281" s="556"/>
      <c r="L281" s="556"/>
      <c r="M281" s="556"/>
      <c r="N281" s="556"/>
      <c r="O281" s="556"/>
      <c r="P281" s="556"/>
      <c r="Q281" s="556"/>
      <c r="R281" s="556"/>
      <c r="S281" s="377"/>
    </row>
    <row r="282" spans="3:19" x14ac:dyDescent="0.35">
      <c r="C282" s="515" t="s">
        <v>482</v>
      </c>
      <c r="F282" s="239" t="s">
        <v>668</v>
      </c>
      <c r="G282" s="615"/>
      <c r="H282" s="386"/>
      <c r="I282" s="386"/>
      <c r="J282" s="386"/>
      <c r="K282" s="386"/>
      <c r="L282" s="386"/>
      <c r="M282" s="386"/>
      <c r="N282" s="386"/>
      <c r="O282" s="386"/>
      <c r="P282" s="386"/>
      <c r="Q282" s="386"/>
      <c r="R282" s="386"/>
      <c r="S282" s="511"/>
    </row>
    <row r="283" spans="3:19" x14ac:dyDescent="0.35">
      <c r="C283" s="74" t="s">
        <v>582</v>
      </c>
      <c r="F283" s="31" t="s">
        <v>681</v>
      </c>
      <c r="G283" s="597">
        <f>G218/G$71</f>
        <v>40330398.260284126</v>
      </c>
      <c r="H283" s="597">
        <f t="shared" ref="H283:S283" si="54">H218/H$71</f>
        <v>42087964.562231436</v>
      </c>
      <c r="I283" s="597">
        <f t="shared" si="54"/>
        <v>42555332.728177533</v>
      </c>
      <c r="J283" s="597">
        <f t="shared" si="54"/>
        <v>42159879.749481164</v>
      </c>
      <c r="K283" s="597">
        <f t="shared" si="54"/>
        <v>42537624.227427967</v>
      </c>
      <c r="L283" s="597">
        <f t="shared" si="54"/>
        <v>41426432.902076423</v>
      </c>
      <c r="M283" s="597">
        <f t="shared" si="54"/>
        <v>37703461.520387135</v>
      </c>
      <c r="N283" s="597">
        <f t="shared" si="54"/>
        <v>39111644.854718886</v>
      </c>
      <c r="O283" s="597">
        <f t="shared" si="54"/>
        <v>39327185.050654516</v>
      </c>
      <c r="P283" s="597">
        <f t="shared" si="54"/>
        <v>37126556.91320397</v>
      </c>
      <c r="Q283" s="597">
        <f t="shared" si="54"/>
        <v>39478288.506466724</v>
      </c>
      <c r="R283" s="597">
        <f t="shared" si="54"/>
        <v>40222820.63573809</v>
      </c>
      <c r="S283" s="667">
        <f t="shared" si="54"/>
        <v>39941766.44508975</v>
      </c>
    </row>
    <row r="284" spans="3:19" x14ac:dyDescent="0.35">
      <c r="C284" s="74" t="s">
        <v>583</v>
      </c>
      <c r="F284" s="31" t="s">
        <v>681</v>
      </c>
      <c r="G284" s="597">
        <f>G219/G$75</f>
        <v>10953639.721581109</v>
      </c>
      <c r="H284" s="597">
        <f t="shared" ref="H284:S284" si="55">H219/H$75</f>
        <v>11395897.289431132</v>
      </c>
      <c r="I284" s="597">
        <f t="shared" si="55"/>
        <v>11334480.459446998</v>
      </c>
      <c r="J284" s="597">
        <f t="shared" si="55"/>
        <v>11050893.921326073</v>
      </c>
      <c r="K284" s="597">
        <f t="shared" si="55"/>
        <v>10909304.822787829</v>
      </c>
      <c r="L284" s="597">
        <f t="shared" si="55"/>
        <v>10608650.668193949</v>
      </c>
      <c r="M284" s="597">
        <f t="shared" si="55"/>
        <v>10179295.866024304</v>
      </c>
      <c r="N284" s="597">
        <f t="shared" si="55"/>
        <v>11285797.957400067</v>
      </c>
      <c r="O284" s="597">
        <f t="shared" si="55"/>
        <v>11374385.423811926</v>
      </c>
      <c r="P284" s="597">
        <f t="shared" si="55"/>
        <v>10415334.322535146</v>
      </c>
      <c r="Q284" s="597">
        <f t="shared" si="55"/>
        <v>11022494.336736308</v>
      </c>
      <c r="R284" s="597">
        <f t="shared" si="55"/>
        <v>12485981.00286754</v>
      </c>
      <c r="S284" s="667">
        <f t="shared" si="55"/>
        <v>11584619.082106998</v>
      </c>
    </row>
    <row r="285" spans="3:19" x14ac:dyDescent="0.35">
      <c r="C285" s="74" t="s">
        <v>560</v>
      </c>
      <c r="F285" s="31"/>
      <c r="G285" s="597"/>
      <c r="H285" s="375"/>
      <c r="I285" s="375"/>
      <c r="J285" s="375"/>
      <c r="K285" s="375"/>
      <c r="L285" s="375"/>
      <c r="M285" s="375"/>
      <c r="N285" s="375"/>
      <c r="O285" s="375"/>
      <c r="P285" s="375"/>
      <c r="Q285" s="375"/>
      <c r="R285" s="375"/>
      <c r="S285" s="376"/>
    </row>
    <row r="286" spans="3:19" x14ac:dyDescent="0.35">
      <c r="C286" s="437" t="s">
        <v>584</v>
      </c>
      <c r="F286" s="31" t="s">
        <v>681</v>
      </c>
      <c r="G286" s="597">
        <f>G221/G$76</f>
        <v>2346445.1210225504</v>
      </c>
      <c r="H286" s="597">
        <f t="shared" ref="H286:S286" si="56">H221/H$76</f>
        <v>2477383.7231714847</v>
      </c>
      <c r="I286" s="597">
        <f t="shared" si="56"/>
        <v>2448414.3696137797</v>
      </c>
      <c r="J286" s="597">
        <f t="shared" si="56"/>
        <v>2354559.2124561626</v>
      </c>
      <c r="K286" s="597">
        <f t="shared" si="56"/>
        <v>2312378.9294405594</v>
      </c>
      <c r="L286" s="597">
        <f t="shared" si="56"/>
        <v>2402423.3589933673</v>
      </c>
      <c r="M286" s="597">
        <f t="shared" si="56"/>
        <v>2329625.3550084815</v>
      </c>
      <c r="N286" s="597">
        <f t="shared" si="56"/>
        <v>2547135.6227409746</v>
      </c>
      <c r="O286" s="597">
        <f t="shared" si="56"/>
        <v>2461250.4590934953</v>
      </c>
      <c r="P286" s="597">
        <f t="shared" si="56"/>
        <v>2059890.6033253756</v>
      </c>
      <c r="Q286" s="597">
        <f t="shared" si="56"/>
        <v>2461415.9426990766</v>
      </c>
      <c r="R286" s="597">
        <f t="shared" si="56"/>
        <v>3273636.470620723</v>
      </c>
      <c r="S286" s="667">
        <f t="shared" si="56"/>
        <v>2721022.2861021995</v>
      </c>
    </row>
    <row r="287" spans="3:19" x14ac:dyDescent="0.35">
      <c r="C287" s="437" t="s">
        <v>585</v>
      </c>
      <c r="F287" s="31" t="s">
        <v>682</v>
      </c>
      <c r="G287" s="597">
        <f>G222/G$13</f>
        <v>50520.901067752478</v>
      </c>
      <c r="H287" s="597">
        <f t="shared" ref="H287:S287" si="57">H222/H$13</f>
        <v>53395.685526547335</v>
      </c>
      <c r="I287" s="597">
        <f t="shared" si="57"/>
        <v>48761.45896437778</v>
      </c>
      <c r="J287" s="597">
        <f t="shared" si="57"/>
        <v>43756.930481849289</v>
      </c>
      <c r="K287" s="597">
        <f t="shared" si="57"/>
        <v>38106.688269024329</v>
      </c>
      <c r="L287" s="597">
        <f t="shared" si="57"/>
        <v>37826.645851929527</v>
      </c>
      <c r="M287" s="597">
        <f t="shared" si="57"/>
        <v>37019.124998695937</v>
      </c>
      <c r="N287" s="597">
        <f t="shared" si="57"/>
        <v>44427.226777890472</v>
      </c>
      <c r="O287" s="597">
        <f t="shared" si="57"/>
        <v>41600.378425081479</v>
      </c>
      <c r="P287" s="597">
        <f t="shared" si="57"/>
        <v>34115.60828553405</v>
      </c>
      <c r="Q287" s="597">
        <f t="shared" si="57"/>
        <v>40120.117457195563</v>
      </c>
      <c r="R287" s="597">
        <f t="shared" si="57"/>
        <v>45779.531069590761</v>
      </c>
      <c r="S287" s="667">
        <f t="shared" si="57"/>
        <v>24943.459271116648</v>
      </c>
    </row>
    <row r="288" spans="3:19" x14ac:dyDescent="0.35">
      <c r="C288" s="437" t="s">
        <v>586</v>
      </c>
      <c r="F288" s="31" t="s">
        <v>682</v>
      </c>
      <c r="G288" s="597">
        <f>G223/G$31</f>
        <v>24242.970143029725</v>
      </c>
      <c r="H288" s="597">
        <f t="shared" ref="H288:S288" si="58">H223/H$31</f>
        <v>24739.092408674951</v>
      </c>
      <c r="I288" s="597">
        <f t="shared" si="58"/>
        <v>24215.280748313373</v>
      </c>
      <c r="J288" s="597">
        <f t="shared" si="58"/>
        <v>23802.14208482805</v>
      </c>
      <c r="K288" s="597">
        <f t="shared" si="58"/>
        <v>22262.552587747879</v>
      </c>
      <c r="L288" s="597">
        <f t="shared" si="58"/>
        <v>22060.670566992856</v>
      </c>
      <c r="M288" s="597">
        <f t="shared" si="58"/>
        <v>23112.215455221231</v>
      </c>
      <c r="N288" s="597">
        <f t="shared" si="58"/>
        <v>25535.783825188631</v>
      </c>
      <c r="O288" s="597">
        <f t="shared" si="58"/>
        <v>25605.383696376954</v>
      </c>
      <c r="P288" s="597">
        <f t="shared" si="58"/>
        <v>22878.871618964557</v>
      </c>
      <c r="Q288" s="597">
        <f t="shared" si="58"/>
        <v>22446.180995942548</v>
      </c>
      <c r="R288" s="597">
        <f t="shared" si="58"/>
        <v>18492.777568711579</v>
      </c>
      <c r="S288" s="667">
        <f t="shared" si="58"/>
        <v>14731.723207130817</v>
      </c>
    </row>
    <row r="289" spans="3:19" x14ac:dyDescent="0.35">
      <c r="C289" s="437" t="s">
        <v>587</v>
      </c>
      <c r="F289" s="31" t="s">
        <v>682</v>
      </c>
      <c r="G289" s="597">
        <f>G224/G$31</f>
        <v>15427.344636473463</v>
      </c>
      <c r="H289" s="597">
        <f t="shared" ref="H289:S289" si="59">H224/H$31</f>
        <v>15743.058805520428</v>
      </c>
      <c r="I289" s="597">
        <f t="shared" si="59"/>
        <v>15409.724112563057</v>
      </c>
      <c r="J289" s="597">
        <f t="shared" si="59"/>
        <v>15146.817690345126</v>
      </c>
      <c r="K289" s="597">
        <f t="shared" si="59"/>
        <v>14167.078919475927</v>
      </c>
      <c r="L289" s="597">
        <f t="shared" si="59"/>
        <v>14038.60854263182</v>
      </c>
      <c r="M289" s="597">
        <f t="shared" si="59"/>
        <v>14707.773471504423</v>
      </c>
      <c r="N289" s="597">
        <f t="shared" si="59"/>
        <v>16250.044252392767</v>
      </c>
      <c r="O289" s="597">
        <f t="shared" si="59"/>
        <v>16294.33507951261</v>
      </c>
      <c r="P289" s="597">
        <f t="shared" si="59"/>
        <v>14559.281939341085</v>
      </c>
      <c r="Q289" s="597">
        <f t="shared" si="59"/>
        <v>14283.933361054353</v>
      </c>
      <c r="R289" s="597">
        <f t="shared" si="59"/>
        <v>11768.131180089189</v>
      </c>
      <c r="S289" s="667">
        <f t="shared" si="59"/>
        <v>9374.7329499923399</v>
      </c>
    </row>
    <row r="290" spans="3:19" x14ac:dyDescent="0.35">
      <c r="C290" s="437" t="s">
        <v>588</v>
      </c>
      <c r="F290" s="31" t="s">
        <v>681</v>
      </c>
      <c r="G290" s="597">
        <f>G225/G$75</f>
        <v>286881.0403271243</v>
      </c>
      <c r="H290" s="597">
        <f t="shared" ref="H290:S290" si="60">H225/H$75</f>
        <v>298463.97662795824</v>
      </c>
      <c r="I290" s="597">
        <f t="shared" si="60"/>
        <v>296855.44060456427</v>
      </c>
      <c r="J290" s="597">
        <f t="shared" si="60"/>
        <v>289428.17412996857</v>
      </c>
      <c r="K290" s="597">
        <f t="shared" si="60"/>
        <v>285719.88821587176</v>
      </c>
      <c r="L290" s="597">
        <f t="shared" si="60"/>
        <v>277845.61273841298</v>
      </c>
      <c r="M290" s="597">
        <f t="shared" si="60"/>
        <v>266600.60601492232</v>
      </c>
      <c r="N290" s="597">
        <f t="shared" si="60"/>
        <v>295580.4226938113</v>
      </c>
      <c r="O290" s="597">
        <f t="shared" si="60"/>
        <v>297900.57062364573</v>
      </c>
      <c r="P290" s="597">
        <f t="shared" si="60"/>
        <v>272782.56559020624</v>
      </c>
      <c r="Q290" s="597">
        <f t="shared" si="60"/>
        <v>288684.37548595096</v>
      </c>
      <c r="R290" s="597">
        <f t="shared" si="60"/>
        <v>327013.78817034041</v>
      </c>
      <c r="S290" s="667">
        <f t="shared" si="60"/>
        <v>303406.6902456595</v>
      </c>
    </row>
    <row r="291" spans="3:19" x14ac:dyDescent="0.35">
      <c r="C291" s="464" t="s">
        <v>486</v>
      </c>
      <c r="D291" s="555"/>
      <c r="E291" s="555"/>
      <c r="F291" s="606"/>
      <c r="G291" s="614"/>
      <c r="H291" s="556"/>
      <c r="I291" s="556"/>
      <c r="J291" s="556"/>
      <c r="K291" s="556"/>
      <c r="L291" s="556"/>
      <c r="M291" s="556"/>
      <c r="N291" s="556"/>
      <c r="O291" s="556"/>
      <c r="P291" s="556"/>
      <c r="Q291" s="556"/>
      <c r="R291" s="556"/>
      <c r="S291" s="377"/>
    </row>
    <row r="292" spans="3:19" x14ac:dyDescent="0.35">
      <c r="C292" s="515" t="s">
        <v>482</v>
      </c>
      <c r="F292" s="239" t="s">
        <v>668</v>
      </c>
      <c r="G292" s="615"/>
      <c r="H292" s="386"/>
      <c r="I292" s="386"/>
      <c r="J292" s="386"/>
      <c r="K292" s="386"/>
      <c r="L292" s="386"/>
      <c r="M292" s="386"/>
      <c r="N292" s="386"/>
      <c r="O292" s="386"/>
      <c r="P292" s="386"/>
      <c r="Q292" s="386"/>
      <c r="R292" s="386"/>
      <c r="S292" s="511"/>
    </row>
    <row r="293" spans="3:19" x14ac:dyDescent="0.35">
      <c r="C293" s="74" t="s">
        <v>582</v>
      </c>
      <c r="F293" s="31" t="s">
        <v>681</v>
      </c>
      <c r="G293" s="597">
        <f>G228/G$71</f>
        <v>60412936.042215325</v>
      </c>
      <c r="H293" s="597">
        <f t="shared" ref="H293:S293" si="61">H228/H$71</f>
        <v>64808971.665655203</v>
      </c>
      <c r="I293" s="597">
        <f t="shared" si="61"/>
        <v>67403716.611735538</v>
      </c>
      <c r="J293" s="597">
        <f t="shared" si="61"/>
        <v>63015485.303637058</v>
      </c>
      <c r="K293" s="597">
        <f t="shared" si="61"/>
        <v>61477063.939862974</v>
      </c>
      <c r="L293" s="597">
        <f t="shared" si="61"/>
        <v>58441762.73411417</v>
      </c>
      <c r="M293" s="597">
        <f t="shared" si="61"/>
        <v>57454807.311868839</v>
      </c>
      <c r="N293" s="597">
        <f t="shared" si="61"/>
        <v>55143741.893012822</v>
      </c>
      <c r="O293" s="597">
        <f t="shared" si="61"/>
        <v>53587293.012449823</v>
      </c>
      <c r="P293" s="597">
        <f t="shared" si="61"/>
        <v>46083836.954190262</v>
      </c>
      <c r="Q293" s="597">
        <f t="shared" si="61"/>
        <v>53278215.520826496</v>
      </c>
      <c r="R293" s="597">
        <f t="shared" si="61"/>
        <v>53229816.822149478</v>
      </c>
      <c r="S293" s="667">
        <f t="shared" si="61"/>
        <v>52848450.50354141</v>
      </c>
    </row>
    <row r="294" spans="3:19" x14ac:dyDescent="0.35">
      <c r="C294" s="74" t="s">
        <v>583</v>
      </c>
      <c r="F294" s="31" t="s">
        <v>681</v>
      </c>
      <c r="G294" s="597">
        <f>G229/G$75</f>
        <v>16408008.957873523</v>
      </c>
      <c r="H294" s="597">
        <f t="shared" ref="H294:S294" si="62">H229/H$75</f>
        <v>17547923.550530143</v>
      </c>
      <c r="I294" s="597">
        <f t="shared" si="62"/>
        <v>17952770.190043766</v>
      </c>
      <c r="J294" s="597">
        <f t="shared" si="62"/>
        <v>16517538.65592904</v>
      </c>
      <c r="K294" s="597">
        <f t="shared" si="62"/>
        <v>15766560.599252703</v>
      </c>
      <c r="L294" s="597">
        <f t="shared" si="62"/>
        <v>14966006.0460725</v>
      </c>
      <c r="M294" s="597">
        <f t="shared" si="62"/>
        <v>15511824.6168641</v>
      </c>
      <c r="N294" s="597">
        <f t="shared" si="62"/>
        <v>15911914.007484503</v>
      </c>
      <c r="O294" s="597">
        <f t="shared" si="62"/>
        <v>15498758.015791513</v>
      </c>
      <c r="P294" s="597">
        <f t="shared" si="62"/>
        <v>12928173.486844081</v>
      </c>
      <c r="Q294" s="597">
        <f t="shared" si="62"/>
        <v>14875488.555020081</v>
      </c>
      <c r="R294" s="597">
        <f t="shared" si="62"/>
        <v>16523616.969739683</v>
      </c>
      <c r="S294" s="667">
        <f t="shared" si="62"/>
        <v>15328044.366910508</v>
      </c>
    </row>
    <row r="295" spans="3:19" x14ac:dyDescent="0.35">
      <c r="C295" s="74" t="s">
        <v>560</v>
      </c>
      <c r="F295" s="31"/>
      <c r="G295" s="597"/>
      <c r="H295" s="375"/>
      <c r="I295" s="375"/>
      <c r="J295" s="375"/>
      <c r="K295" s="375"/>
      <c r="L295" s="375"/>
      <c r="M295" s="375"/>
      <c r="N295" s="375"/>
      <c r="O295" s="375"/>
      <c r="P295" s="375"/>
      <c r="Q295" s="375"/>
      <c r="R295" s="375"/>
      <c r="S295" s="376"/>
    </row>
    <row r="296" spans="3:19" x14ac:dyDescent="0.35">
      <c r="C296" s="437" t="s">
        <v>584</v>
      </c>
      <c r="F296" s="31" t="s">
        <v>681</v>
      </c>
      <c r="G296" s="597">
        <f>G231/G$76</f>
        <v>3514858.3980758553</v>
      </c>
      <c r="H296" s="597">
        <f t="shared" ref="H296:S296" si="63">H231/H$76</f>
        <v>3814788.6976709543</v>
      </c>
      <c r="I296" s="597">
        <f t="shared" si="63"/>
        <v>3878062.2248142855</v>
      </c>
      <c r="J296" s="597">
        <f t="shared" si="63"/>
        <v>3519310.1197329788</v>
      </c>
      <c r="K296" s="597">
        <f t="shared" si="63"/>
        <v>3341941.8662960147</v>
      </c>
      <c r="L296" s="597">
        <f t="shared" si="63"/>
        <v>3389185.2640333553</v>
      </c>
      <c r="M296" s="597">
        <f t="shared" si="63"/>
        <v>3550023.5385146686</v>
      </c>
      <c r="N296" s="597">
        <f t="shared" si="63"/>
        <v>3591221.7414701809</v>
      </c>
      <c r="O296" s="597">
        <f t="shared" si="63"/>
        <v>3353704.2978944341</v>
      </c>
      <c r="P296" s="597">
        <f t="shared" si="63"/>
        <v>2556866.8521845727</v>
      </c>
      <c r="Q296" s="597">
        <f t="shared" si="63"/>
        <v>3321822.0455539362</v>
      </c>
      <c r="R296" s="597">
        <f t="shared" si="63"/>
        <v>4332243.9082907801</v>
      </c>
      <c r="S296" s="667">
        <f t="shared" si="63"/>
        <v>3600286.7275236268</v>
      </c>
    </row>
    <row r="297" spans="3:19" x14ac:dyDescent="0.35">
      <c r="C297" s="437" t="s">
        <v>585</v>
      </c>
      <c r="F297" s="31" t="s">
        <v>682</v>
      </c>
      <c r="G297" s="597">
        <f>G232/G$13</f>
        <v>75677.80375744091</v>
      </c>
      <c r="H297" s="597">
        <f t="shared" ref="H297:S297" si="64">H232/H$13</f>
        <v>82221.117280250124</v>
      </c>
      <c r="I297" s="597">
        <f t="shared" si="64"/>
        <v>77233.647369262326</v>
      </c>
      <c r="J297" s="597">
        <f t="shared" si="64"/>
        <v>65402.563434616415</v>
      </c>
      <c r="K297" s="597">
        <f t="shared" si="64"/>
        <v>55073.299315590048</v>
      </c>
      <c r="L297" s="597">
        <f t="shared" si="64"/>
        <v>53363.413333978475</v>
      </c>
      <c r="M297" s="597">
        <f t="shared" si="64"/>
        <v>56411.974070444005</v>
      </c>
      <c r="N297" s="597">
        <f t="shared" si="64"/>
        <v>62638.212623439627</v>
      </c>
      <c r="O297" s="597">
        <f t="shared" si="64"/>
        <v>56684.750388879816</v>
      </c>
      <c r="P297" s="597">
        <f t="shared" si="64"/>
        <v>42346.456567439796</v>
      </c>
      <c r="Q297" s="597">
        <f t="shared" si="64"/>
        <v>54144.400516633388</v>
      </c>
      <c r="R297" s="597">
        <f t="shared" si="64"/>
        <v>60583.420419628179</v>
      </c>
      <c r="S297" s="667">
        <f t="shared" si="64"/>
        <v>33003.627280454573</v>
      </c>
    </row>
    <row r="298" spans="3:19" x14ac:dyDescent="0.35">
      <c r="C298" s="437" t="s">
        <v>586</v>
      </c>
      <c r="F298" s="31" t="s">
        <v>682</v>
      </c>
      <c r="G298" s="597">
        <f>G233/G$31</f>
        <v>36314.766724395653</v>
      </c>
      <c r="H298" s="597">
        <f t="shared" ref="H298:S298" si="65">H233/H$31</f>
        <v>38094.385310013568</v>
      </c>
      <c r="I298" s="597">
        <f t="shared" si="65"/>
        <v>38354.768171091921</v>
      </c>
      <c r="J298" s="597">
        <f t="shared" si="65"/>
        <v>35576.561025651914</v>
      </c>
      <c r="K298" s="597">
        <f t="shared" si="65"/>
        <v>32174.725169983787</v>
      </c>
      <c r="L298" s="597">
        <f t="shared" si="65"/>
        <v>31121.783477694276</v>
      </c>
      <c r="M298" s="597">
        <f t="shared" si="65"/>
        <v>35219.787042951008</v>
      </c>
      <c r="N298" s="597">
        <f t="shared" si="65"/>
        <v>36003.054269963264</v>
      </c>
      <c r="O298" s="597">
        <f t="shared" si="65"/>
        <v>34889.941832008168</v>
      </c>
      <c r="P298" s="597">
        <f t="shared" si="65"/>
        <v>28398.706399009978</v>
      </c>
      <c r="Q298" s="597">
        <f t="shared" si="65"/>
        <v>30292.409168786897</v>
      </c>
      <c r="R298" s="597">
        <f t="shared" si="65"/>
        <v>24472.85264824663</v>
      </c>
      <c r="S298" s="667">
        <f t="shared" si="65"/>
        <v>19492.095969622205</v>
      </c>
    </row>
    <row r="299" spans="3:19" x14ac:dyDescent="0.35">
      <c r="C299" s="437" t="s">
        <v>587</v>
      </c>
      <c r="F299" s="31" t="s">
        <v>682</v>
      </c>
      <c r="G299" s="597">
        <f>G234/G$31</f>
        <v>23109.397006433603</v>
      </c>
      <c r="H299" s="597">
        <f t="shared" ref="H299:S299" si="66">H234/H$31</f>
        <v>24241.881560917725</v>
      </c>
      <c r="I299" s="597">
        <f t="shared" si="66"/>
        <v>24407.579745240317</v>
      </c>
      <c r="J299" s="597">
        <f t="shared" si="66"/>
        <v>22639.629743596677</v>
      </c>
      <c r="K299" s="597">
        <f t="shared" si="66"/>
        <v>20474.825108171503</v>
      </c>
      <c r="L299" s="597">
        <f t="shared" si="66"/>
        <v>19804.771303987269</v>
      </c>
      <c r="M299" s="597">
        <f t="shared" si="66"/>
        <v>22412.591754605193</v>
      </c>
      <c r="N299" s="597">
        <f t="shared" si="66"/>
        <v>22911.034535431172</v>
      </c>
      <c r="O299" s="597">
        <f t="shared" si="66"/>
        <v>22202.690256732472</v>
      </c>
      <c r="P299" s="597">
        <f t="shared" si="66"/>
        <v>18071.904072097259</v>
      </c>
      <c r="Q299" s="597">
        <f t="shared" si="66"/>
        <v>19276.987652864394</v>
      </c>
      <c r="R299" s="597">
        <f t="shared" si="66"/>
        <v>15573.633503429677</v>
      </c>
      <c r="S299" s="667">
        <f t="shared" si="66"/>
        <v>12404.061071577769</v>
      </c>
    </row>
    <row r="300" spans="3:19" x14ac:dyDescent="0.35">
      <c r="C300" s="437" t="s">
        <v>588</v>
      </c>
      <c r="F300" s="31" t="s">
        <v>681</v>
      </c>
      <c r="G300" s="597">
        <f>G235/G$75</f>
        <v>429733.56794430665</v>
      </c>
      <c r="H300" s="597">
        <f t="shared" ref="H300:S300" si="67">H235/H$75</f>
        <v>459588.47394245613</v>
      </c>
      <c r="I300" s="597">
        <f t="shared" si="67"/>
        <v>470191.60021543206</v>
      </c>
      <c r="J300" s="597">
        <f t="shared" si="67"/>
        <v>432602.20289337967</v>
      </c>
      <c r="K300" s="597">
        <f t="shared" si="67"/>
        <v>412933.72998042795</v>
      </c>
      <c r="L300" s="597">
        <f t="shared" si="67"/>
        <v>391966.82501618459</v>
      </c>
      <c r="M300" s="597">
        <f t="shared" si="67"/>
        <v>406262.07329882175</v>
      </c>
      <c r="N300" s="597">
        <f t="shared" si="67"/>
        <v>416740.60495792748</v>
      </c>
      <c r="O300" s="597">
        <f t="shared" si="67"/>
        <v>405919.85279453965</v>
      </c>
      <c r="P300" s="597">
        <f t="shared" si="67"/>
        <v>338595.01989353547</v>
      </c>
      <c r="Q300" s="597">
        <f t="shared" si="67"/>
        <v>389596.1288219546</v>
      </c>
      <c r="R300" s="597">
        <f t="shared" si="67"/>
        <v>432761.3968265155</v>
      </c>
      <c r="S300" s="667">
        <f t="shared" si="67"/>
        <v>401448.78103813238</v>
      </c>
    </row>
    <row r="301" spans="3:19" x14ac:dyDescent="0.35">
      <c r="C301" s="464" t="s">
        <v>487</v>
      </c>
      <c r="D301" s="555"/>
      <c r="E301" s="555"/>
      <c r="F301" s="606"/>
      <c r="G301" s="614"/>
      <c r="H301" s="556"/>
      <c r="I301" s="556"/>
      <c r="J301" s="556"/>
      <c r="K301" s="556"/>
      <c r="L301" s="556"/>
      <c r="M301" s="556"/>
      <c r="N301" s="556"/>
      <c r="O301" s="556"/>
      <c r="P301" s="556"/>
      <c r="Q301" s="556"/>
      <c r="R301" s="556"/>
      <c r="S301" s="377"/>
    </row>
    <row r="302" spans="3:19" x14ac:dyDescent="0.35">
      <c r="C302" s="515" t="s">
        <v>482</v>
      </c>
      <c r="F302" s="239" t="s">
        <v>668</v>
      </c>
      <c r="G302" s="615"/>
      <c r="H302" s="386"/>
      <c r="I302" s="386"/>
      <c r="J302" s="386"/>
      <c r="K302" s="386"/>
      <c r="L302" s="386"/>
      <c r="M302" s="386"/>
      <c r="N302" s="386"/>
      <c r="O302" s="386"/>
      <c r="P302" s="386"/>
      <c r="Q302" s="386"/>
      <c r="R302" s="386"/>
      <c r="S302" s="511"/>
    </row>
    <row r="303" spans="3:19" x14ac:dyDescent="0.35">
      <c r="C303" s="74" t="s">
        <v>582</v>
      </c>
      <c r="F303" s="31" t="s">
        <v>681</v>
      </c>
      <c r="G303" s="597">
        <f>G238/G$71</f>
        <v>2556451.2185475859</v>
      </c>
      <c r="H303" s="597">
        <f t="shared" ref="H303:S303" si="68">H238/H$71</f>
        <v>2557472.2318425248</v>
      </c>
      <c r="I303" s="597">
        <f t="shared" si="68"/>
        <v>2537539.281019351</v>
      </c>
      <c r="J303" s="597">
        <f t="shared" si="68"/>
        <v>2557764.2422418408</v>
      </c>
      <c r="K303" s="597">
        <f t="shared" si="68"/>
        <v>2466634.295967367</v>
      </c>
      <c r="L303" s="597">
        <f t="shared" si="68"/>
        <v>2724768.56252624</v>
      </c>
      <c r="M303" s="597">
        <f t="shared" si="68"/>
        <v>2686947.7902442901</v>
      </c>
      <c r="N303" s="597">
        <f t="shared" si="68"/>
        <v>3584634.3564523095</v>
      </c>
      <c r="O303" s="597">
        <f t="shared" si="68"/>
        <v>3632872.171782549</v>
      </c>
      <c r="P303" s="597">
        <f t="shared" si="68"/>
        <v>3158780.2587839868</v>
      </c>
      <c r="Q303" s="597">
        <f t="shared" si="68"/>
        <v>3022987.0732516935</v>
      </c>
      <c r="R303" s="597">
        <f t="shared" si="68"/>
        <v>3303972.8906899737</v>
      </c>
      <c r="S303" s="667">
        <f t="shared" si="68"/>
        <v>3458109.8897570316</v>
      </c>
    </row>
    <row r="304" spans="3:19" x14ac:dyDescent="0.35">
      <c r="C304" s="74" t="s">
        <v>583</v>
      </c>
      <c r="F304" s="31" t="s">
        <v>681</v>
      </c>
      <c r="G304" s="597">
        <f>G239/G$75</f>
        <v>694326.03747290606</v>
      </c>
      <c r="H304" s="597">
        <f t="shared" ref="H304:S304" si="69">H239/H$75</f>
        <v>692470.90415969526</v>
      </c>
      <c r="I304" s="597">
        <f t="shared" si="69"/>
        <v>675865.69183957507</v>
      </c>
      <c r="J304" s="597">
        <f t="shared" si="69"/>
        <v>670437.90173816599</v>
      </c>
      <c r="K304" s="597">
        <f t="shared" si="69"/>
        <v>632599.16156059678</v>
      </c>
      <c r="L304" s="597">
        <f t="shared" si="69"/>
        <v>697769.89729832613</v>
      </c>
      <c r="M304" s="597">
        <f t="shared" si="69"/>
        <v>725430.38306091353</v>
      </c>
      <c r="N304" s="597">
        <f>N239/N$75</f>
        <v>1034358.4180197056</v>
      </c>
      <c r="O304" s="597">
        <f t="shared" si="69"/>
        <v>1050715.6366282483</v>
      </c>
      <c r="P304" s="597">
        <f t="shared" si="69"/>
        <v>886151.45550861978</v>
      </c>
      <c r="Q304" s="597">
        <f t="shared" si="69"/>
        <v>844029.95052548323</v>
      </c>
      <c r="R304" s="597">
        <f t="shared" si="69"/>
        <v>1025620.3343057114</v>
      </c>
      <c r="S304" s="667">
        <f t="shared" si="69"/>
        <v>1002982.326081553</v>
      </c>
    </row>
    <row r="305" spans="3:19" x14ac:dyDescent="0.35">
      <c r="C305" s="74" t="s">
        <v>560</v>
      </c>
      <c r="F305" s="31"/>
      <c r="G305" s="597"/>
      <c r="H305" s="375"/>
      <c r="I305" s="375"/>
      <c r="J305" s="375"/>
      <c r="K305" s="375"/>
      <c r="L305" s="375"/>
      <c r="M305" s="375"/>
      <c r="N305" s="375"/>
      <c r="O305" s="375"/>
      <c r="P305" s="375"/>
      <c r="Q305" s="375"/>
      <c r="R305" s="375"/>
      <c r="S305" s="376"/>
    </row>
    <row r="306" spans="3:19" x14ac:dyDescent="0.35">
      <c r="C306" s="437" t="s">
        <v>584</v>
      </c>
      <c r="F306" s="31" t="s">
        <v>681</v>
      </c>
      <c r="G306" s="597">
        <f>G241/G$76</f>
        <v>148735.76130291546</v>
      </c>
      <c r="H306" s="597">
        <f t="shared" ref="H306:S306" si="70">H241/H$76</f>
        <v>150538.04919127229</v>
      </c>
      <c r="I306" s="597">
        <f t="shared" si="70"/>
        <v>145996.92308346977</v>
      </c>
      <c r="J306" s="597">
        <f t="shared" si="70"/>
        <v>142846.88181387889</v>
      </c>
      <c r="K306" s="597">
        <f t="shared" si="70"/>
        <v>134088.19312839344</v>
      </c>
      <c r="L306" s="597">
        <f t="shared" si="70"/>
        <v>158016.20327623503</v>
      </c>
      <c r="M306" s="597">
        <f t="shared" si="70"/>
        <v>166021.40618713247</v>
      </c>
      <c r="N306" s="597">
        <f t="shared" si="70"/>
        <v>233448.37318237286</v>
      </c>
      <c r="O306" s="597">
        <f t="shared" si="70"/>
        <v>227359.4789230655</v>
      </c>
      <c r="P306" s="597">
        <f t="shared" si="70"/>
        <v>175258.42184209454</v>
      </c>
      <c r="Q306" s="597">
        <f t="shared" si="70"/>
        <v>188479.00601000217</v>
      </c>
      <c r="R306" s="597">
        <f t="shared" si="70"/>
        <v>268902.22967841354</v>
      </c>
      <c r="S306" s="667">
        <f t="shared" si="70"/>
        <v>235582.82257634285</v>
      </c>
    </row>
    <row r="307" spans="3:19" x14ac:dyDescent="0.35">
      <c r="C307" s="437" t="s">
        <v>585</v>
      </c>
      <c r="F307" s="31" t="s">
        <v>682</v>
      </c>
      <c r="G307" s="597">
        <f>G242/G$13</f>
        <v>3202.403761630198</v>
      </c>
      <c r="H307" s="597">
        <f t="shared" ref="H307:S307" si="71">H242/H$13</f>
        <v>3244.5851077551029</v>
      </c>
      <c r="I307" s="597">
        <f t="shared" si="71"/>
        <v>2907.605453640188</v>
      </c>
      <c r="J307" s="597">
        <f t="shared" si="71"/>
        <v>2654.6544440301327</v>
      </c>
      <c r="K307" s="597">
        <f t="shared" si="71"/>
        <v>2209.6970834000003</v>
      </c>
      <c r="L307" s="597">
        <f t="shared" si="71"/>
        <v>2487.9973539306361</v>
      </c>
      <c r="M307" s="597">
        <f t="shared" si="71"/>
        <v>2638.1783555400698</v>
      </c>
      <c r="N307" s="597">
        <f t="shared" si="71"/>
        <v>4071.8145212629643</v>
      </c>
      <c r="O307" s="597">
        <f t="shared" si="71"/>
        <v>3842.8597653618849</v>
      </c>
      <c r="P307" s="597">
        <f t="shared" si="71"/>
        <v>2902.6044677584009</v>
      </c>
      <c r="Q307" s="597">
        <f t="shared" si="71"/>
        <v>3072.1341030418566</v>
      </c>
      <c r="R307" s="597">
        <f t="shared" si="71"/>
        <v>3760.4108118672652</v>
      </c>
      <c r="S307" s="667">
        <f t="shared" si="71"/>
        <v>2159.5745723660712</v>
      </c>
    </row>
    <row r="308" spans="3:19" x14ac:dyDescent="0.35">
      <c r="C308" s="437" t="s">
        <v>586</v>
      </c>
      <c r="F308" s="31" t="s">
        <v>682</v>
      </c>
      <c r="G308" s="597">
        <f>G243/G$31</f>
        <v>1536.7061382181469</v>
      </c>
      <c r="H308" s="597">
        <f t="shared" ref="H308:S308" si="72">H243/H$31</f>
        <v>1503.2692251634501</v>
      </c>
      <c r="I308" s="597">
        <f t="shared" si="72"/>
        <v>1443.9371557085783</v>
      </c>
      <c r="J308" s="597">
        <f t="shared" si="72"/>
        <v>1444.0332438111868</v>
      </c>
      <c r="K308" s="597">
        <f t="shared" si="72"/>
        <v>1290.9412955251057</v>
      </c>
      <c r="L308" s="597">
        <f t="shared" si="72"/>
        <v>1451.01128478231</v>
      </c>
      <c r="M308" s="597">
        <f t="shared" si="72"/>
        <v>1647.0985352757864</v>
      </c>
      <c r="N308" s="597">
        <f t="shared" si="72"/>
        <v>2340.3886069922301</v>
      </c>
      <c r="O308" s="597">
        <f t="shared" si="72"/>
        <v>2365.312588698343</v>
      </c>
      <c r="P308" s="597">
        <f t="shared" si="72"/>
        <v>1946.5669327266937</v>
      </c>
      <c r="Q308" s="597">
        <f t="shared" si="72"/>
        <v>1718.7805642457695</v>
      </c>
      <c r="R308" s="597">
        <f t="shared" si="72"/>
        <v>1519.0291181691896</v>
      </c>
      <c r="S308" s="667">
        <f t="shared" si="72"/>
        <v>1275.454799571216</v>
      </c>
    </row>
    <row r="309" spans="3:19" x14ac:dyDescent="0.35">
      <c r="C309" s="437" t="s">
        <v>587</v>
      </c>
      <c r="F309" s="31" t="s">
        <v>682</v>
      </c>
      <c r="G309" s="597">
        <f>G244/G$31</f>
        <v>977.90390613882073</v>
      </c>
      <c r="H309" s="597">
        <f t="shared" ref="H309:S309" si="73">H244/H$31</f>
        <v>956.62587055855931</v>
      </c>
      <c r="I309" s="597">
        <f t="shared" si="73"/>
        <v>918.86909908727728</v>
      </c>
      <c r="J309" s="597">
        <f t="shared" si="73"/>
        <v>918.93024606166455</v>
      </c>
      <c r="K309" s="597">
        <f t="shared" si="73"/>
        <v>821.50809715234016</v>
      </c>
      <c r="L309" s="597">
        <f t="shared" si="73"/>
        <v>923.37081758874285</v>
      </c>
      <c r="M309" s="597">
        <f t="shared" si="73"/>
        <v>1048.1536133573188</v>
      </c>
      <c r="N309" s="597">
        <f t="shared" si="73"/>
        <v>1489.3382044496011</v>
      </c>
      <c r="O309" s="597">
        <f t="shared" si="73"/>
        <v>1505.1989200807639</v>
      </c>
      <c r="P309" s="597">
        <f t="shared" si="73"/>
        <v>1238.724411735169</v>
      </c>
      <c r="Q309" s="597">
        <f t="shared" si="73"/>
        <v>1093.7694499745808</v>
      </c>
      <c r="R309" s="597">
        <f t="shared" si="73"/>
        <v>966.65489338039356</v>
      </c>
      <c r="S309" s="667">
        <f t="shared" si="73"/>
        <v>811.65305427259193</v>
      </c>
    </row>
    <row r="310" spans="3:19" x14ac:dyDescent="0.35">
      <c r="C310" s="516" t="s">
        <v>588</v>
      </c>
      <c r="F310" s="31" t="s">
        <v>681</v>
      </c>
      <c r="G310" s="597">
        <f>G245/G$75</f>
        <v>18184.729552861831</v>
      </c>
      <c r="H310" s="597">
        <f t="shared" ref="H310:S310" si="74">H245/H$75</f>
        <v>18136.142727992021</v>
      </c>
      <c r="I310" s="597">
        <f t="shared" si="74"/>
        <v>17701.244310084112</v>
      </c>
      <c r="J310" s="597">
        <f t="shared" si="74"/>
        <v>17559.087902666255</v>
      </c>
      <c r="K310" s="597">
        <f t="shared" si="74"/>
        <v>16568.073278968011</v>
      </c>
      <c r="L310" s="597">
        <f t="shared" si="74"/>
        <v>18274.925881622832</v>
      </c>
      <c r="M310" s="597">
        <f t="shared" si="74"/>
        <v>18999.367175404877</v>
      </c>
      <c r="N310" s="597">
        <f t="shared" si="74"/>
        <v>27090.33951956372</v>
      </c>
      <c r="O310" s="597">
        <f t="shared" si="74"/>
        <v>27518.742864073174</v>
      </c>
      <c r="P310" s="597">
        <f t="shared" si="74"/>
        <v>23208.728596654331</v>
      </c>
      <c r="Q310" s="597">
        <f t="shared" si="74"/>
        <v>22105.546323286468</v>
      </c>
      <c r="R310" s="597">
        <f t="shared" si="74"/>
        <v>26861.484946101969</v>
      </c>
      <c r="S310" s="667">
        <f t="shared" si="74"/>
        <v>26268.584730707345</v>
      </c>
    </row>
    <row r="311" spans="3:19" x14ac:dyDescent="0.35">
      <c r="C311" s="517" t="s">
        <v>277</v>
      </c>
      <c r="D311" s="555"/>
      <c r="E311" s="555"/>
      <c r="F311" s="606"/>
      <c r="G311" s="617">
        <v>603616680.43349504</v>
      </c>
      <c r="H311" s="518">
        <v>680012244.95626426</v>
      </c>
      <c r="I311" s="518">
        <v>669536227.42020941</v>
      </c>
      <c r="J311" s="518">
        <v>637270744.10764241</v>
      </c>
      <c r="K311" s="518">
        <v>559496882.56512475</v>
      </c>
      <c r="L311" s="518">
        <v>520568759.72307551</v>
      </c>
      <c r="M311" s="518">
        <v>570365678.65218472</v>
      </c>
      <c r="N311" s="518">
        <v>652918424.9038136</v>
      </c>
      <c r="O311" s="518">
        <v>649883243.67373967</v>
      </c>
      <c r="P311" s="518">
        <v>518390621.48287261</v>
      </c>
      <c r="Q311" s="518">
        <v>630750705.63018632</v>
      </c>
      <c r="R311" s="518">
        <v>813417746.38822508</v>
      </c>
      <c r="S311" s="519">
        <v>792849321.86289334</v>
      </c>
    </row>
    <row r="312" spans="3:19" x14ac:dyDescent="0.35">
      <c r="C312" s="683" t="s">
        <v>482</v>
      </c>
      <c r="D312" s="73"/>
      <c r="E312" s="73"/>
      <c r="F312" s="565" t="s">
        <v>668</v>
      </c>
      <c r="G312" s="72"/>
      <c r="H312" s="73"/>
      <c r="I312" s="73"/>
      <c r="J312" s="73"/>
      <c r="K312" s="73"/>
      <c r="L312" s="73"/>
      <c r="M312" s="73"/>
      <c r="N312" s="73"/>
      <c r="O312" s="73"/>
      <c r="P312" s="73"/>
      <c r="Q312" s="73"/>
      <c r="R312" s="73"/>
      <c r="S312" s="29"/>
    </row>
    <row r="313" spans="3:19" x14ac:dyDescent="0.35">
      <c r="C313" s="74" t="s">
        <v>673</v>
      </c>
      <c r="F313" s="31" t="s">
        <v>681</v>
      </c>
      <c r="G313" s="600">
        <f>G303+G293+G273+G263+G283</f>
        <v>338649569.04308611</v>
      </c>
      <c r="H313" s="600">
        <f t="shared" ref="H313:S313" si="75">H303+H293+H273+H263+H283</f>
        <v>355120004.40671086</v>
      </c>
      <c r="I313" s="600">
        <f t="shared" si="75"/>
        <v>361456453.01074576</v>
      </c>
      <c r="J313" s="600">
        <f t="shared" si="75"/>
        <v>361314541.67627925</v>
      </c>
      <c r="K313" s="600">
        <f t="shared" si="75"/>
        <v>354821943.80133641</v>
      </c>
      <c r="L313" s="600">
        <f t="shared" si="75"/>
        <v>343236856.35719907</v>
      </c>
      <c r="M313" s="600">
        <f t="shared" si="75"/>
        <v>337309642.52538794</v>
      </c>
      <c r="N313" s="600">
        <f t="shared" si="75"/>
        <v>331146068.43083757</v>
      </c>
      <c r="O313" s="600">
        <f t="shared" si="75"/>
        <v>328857304.1811443</v>
      </c>
      <c r="P313" s="600">
        <f t="shared" si="75"/>
        <v>299915920.30775571</v>
      </c>
      <c r="Q313" s="600">
        <f t="shared" si="75"/>
        <v>321484472.19787508</v>
      </c>
      <c r="R313" s="600">
        <f t="shared" si="75"/>
        <v>320452310.35760945</v>
      </c>
      <c r="S313" s="684">
        <f t="shared" si="75"/>
        <v>321998613.6636706</v>
      </c>
    </row>
    <row r="314" spans="3:19" x14ac:dyDescent="0.35">
      <c r="C314" s="74" t="s">
        <v>674</v>
      </c>
      <c r="F314" s="31" t="s">
        <v>681</v>
      </c>
      <c r="G314" s="600">
        <f t="shared" ref="G314:S314" si="76">G304+G294+G274+G264+G284</f>
        <v>91976413.107221812</v>
      </c>
      <c r="H314" s="600">
        <f t="shared" si="76"/>
        <v>96153642.442305058</v>
      </c>
      <c r="I314" s="600">
        <f t="shared" si="76"/>
        <v>96272801.572494596</v>
      </c>
      <c r="J314" s="600">
        <f t="shared" si="76"/>
        <v>94707306.947341278</v>
      </c>
      <c r="K314" s="600">
        <f t="shared" si="76"/>
        <v>90998517.50175947</v>
      </c>
      <c r="L314" s="600">
        <f t="shared" si="76"/>
        <v>87897500.471494332</v>
      </c>
      <c r="M314" s="600">
        <f t="shared" si="76"/>
        <v>91067889.028496876</v>
      </c>
      <c r="N314" s="600">
        <f t="shared" si="76"/>
        <v>95553322.714498535</v>
      </c>
      <c r="O314" s="600">
        <f t="shared" si="76"/>
        <v>95113589.298958436</v>
      </c>
      <c r="P314" s="600">
        <f t="shared" si="76"/>
        <v>84137200.924902841</v>
      </c>
      <c r="Q314" s="600">
        <f t="shared" si="76"/>
        <v>89759736.508569464</v>
      </c>
      <c r="R314" s="600">
        <f t="shared" si="76"/>
        <v>99474909.919546545</v>
      </c>
      <c r="S314" s="684">
        <f t="shared" si="76"/>
        <v>93391745.43990992</v>
      </c>
    </row>
    <row r="315" spans="3:19" x14ac:dyDescent="0.35">
      <c r="C315" s="74" t="s">
        <v>560</v>
      </c>
      <c r="F315" s="31"/>
      <c r="G315" s="600">
        <f t="shared" ref="G315:S315" si="77">G305+G295+G275+G265+G285</f>
        <v>0</v>
      </c>
      <c r="H315" s="600">
        <f t="shared" si="77"/>
        <v>0</v>
      </c>
      <c r="I315" s="600">
        <f t="shared" si="77"/>
        <v>0</v>
      </c>
      <c r="J315" s="600">
        <f t="shared" si="77"/>
        <v>0</v>
      </c>
      <c r="K315" s="600">
        <f t="shared" si="77"/>
        <v>0</v>
      </c>
      <c r="L315" s="600">
        <f t="shared" si="77"/>
        <v>0</v>
      </c>
      <c r="M315" s="600">
        <f t="shared" si="77"/>
        <v>0</v>
      </c>
      <c r="N315" s="600">
        <f t="shared" si="77"/>
        <v>0</v>
      </c>
      <c r="O315" s="600">
        <f t="shared" si="77"/>
        <v>0</v>
      </c>
      <c r="P315" s="600">
        <f t="shared" si="77"/>
        <v>0</v>
      </c>
      <c r="Q315" s="600">
        <f t="shared" si="77"/>
        <v>0</v>
      </c>
      <c r="R315" s="600">
        <f t="shared" si="77"/>
        <v>0</v>
      </c>
      <c r="S315" s="684">
        <f t="shared" si="77"/>
        <v>0</v>
      </c>
    </row>
    <row r="316" spans="3:19" x14ac:dyDescent="0.35">
      <c r="C316" s="437" t="s">
        <v>675</v>
      </c>
      <c r="F316" s="31" t="s">
        <v>681</v>
      </c>
      <c r="G316" s="600">
        <f t="shared" ref="G316:S316" si="78">G306+G296+G276+G266+G286</f>
        <v>19702821.278609924</v>
      </c>
      <c r="H316" s="600">
        <f t="shared" si="78"/>
        <v>20903090.17887862</v>
      </c>
      <c r="I316" s="600">
        <f t="shared" si="78"/>
        <v>20796340.124845237</v>
      </c>
      <c r="J316" s="600">
        <f t="shared" si="78"/>
        <v>20178816.632149644</v>
      </c>
      <c r="K316" s="600">
        <f t="shared" si="78"/>
        <v>19288401.772572689</v>
      </c>
      <c r="L316" s="600">
        <f t="shared" si="78"/>
        <v>19905171.254526585</v>
      </c>
      <c r="M316" s="600">
        <f t="shared" si="78"/>
        <v>20841722.855899796</v>
      </c>
      <c r="N316" s="600">
        <f t="shared" si="78"/>
        <v>21565800.936368458</v>
      </c>
      <c r="O316" s="600">
        <f t="shared" si="78"/>
        <v>20581188.04713738</v>
      </c>
      <c r="P316" s="600">
        <f t="shared" si="78"/>
        <v>16640217.606871894</v>
      </c>
      <c r="Q316" s="600">
        <f t="shared" si="78"/>
        <v>20044106.143771358</v>
      </c>
      <c r="R316" s="600">
        <f t="shared" si="78"/>
        <v>26080825.603494905</v>
      </c>
      <c r="S316" s="684">
        <f t="shared" si="78"/>
        <v>21936070.480943173</v>
      </c>
    </row>
    <row r="317" spans="3:19" x14ac:dyDescent="0.35">
      <c r="C317" s="437" t="s">
        <v>676</v>
      </c>
      <c r="F317" s="31" t="s">
        <v>682</v>
      </c>
      <c r="G317" s="600">
        <f t="shared" ref="G317:S317" si="79">G307+G297+G277+G267+G287</f>
        <v>424218.01202769077</v>
      </c>
      <c r="H317" s="600">
        <f t="shared" si="79"/>
        <v>450529.65323257027</v>
      </c>
      <c r="I317" s="600">
        <f t="shared" si="79"/>
        <v>414170.04335211636</v>
      </c>
      <c r="J317" s="600">
        <f t="shared" si="79"/>
        <v>375001.43207606644</v>
      </c>
      <c r="K317" s="600">
        <f t="shared" si="79"/>
        <v>317861.87990086415</v>
      </c>
      <c r="L317" s="600">
        <f t="shared" si="79"/>
        <v>313410.98181066418</v>
      </c>
      <c r="M317" s="600">
        <f t="shared" si="79"/>
        <v>331187.30526004406</v>
      </c>
      <c r="N317" s="600">
        <f t="shared" si="79"/>
        <v>376151.43861710135</v>
      </c>
      <c r="O317" s="600">
        <f t="shared" si="79"/>
        <v>347865.94271028426</v>
      </c>
      <c r="P317" s="600">
        <f t="shared" si="79"/>
        <v>275592.86145858356</v>
      </c>
      <c r="Q317" s="600">
        <f t="shared" si="79"/>
        <v>326711.09293733747</v>
      </c>
      <c r="R317" s="600">
        <f t="shared" si="79"/>
        <v>364722.22152674809</v>
      </c>
      <c r="S317" s="684">
        <f t="shared" si="79"/>
        <v>201086.73251388408</v>
      </c>
    </row>
    <row r="318" spans="3:19" x14ac:dyDescent="0.35">
      <c r="C318" s="437" t="s">
        <v>677</v>
      </c>
      <c r="F318" s="31" t="s">
        <v>682</v>
      </c>
      <c r="G318" s="600">
        <f t="shared" ref="G318:S318" si="80">G308+G298+G278+G268+G288</f>
        <v>203565.34389461254</v>
      </c>
      <c r="H318" s="600">
        <f t="shared" si="80"/>
        <v>208737.74003008928</v>
      </c>
      <c r="I318" s="600">
        <f t="shared" si="80"/>
        <v>205679.73334512793</v>
      </c>
      <c r="J318" s="600">
        <f t="shared" si="80"/>
        <v>203986.8260866935</v>
      </c>
      <c r="K318" s="600">
        <f t="shared" si="80"/>
        <v>185700.12610320625</v>
      </c>
      <c r="L318" s="600">
        <f t="shared" si="80"/>
        <v>182782.69897012741</v>
      </c>
      <c r="M318" s="600">
        <f t="shared" si="80"/>
        <v>206770.75310326501</v>
      </c>
      <c r="N318" s="600">
        <f t="shared" si="80"/>
        <v>216203.49769029851</v>
      </c>
      <c r="O318" s="600">
        <f t="shared" si="80"/>
        <v>214114.42095508453</v>
      </c>
      <c r="P318" s="600">
        <f t="shared" si="80"/>
        <v>184820.20439564073</v>
      </c>
      <c r="Q318" s="600">
        <f t="shared" si="80"/>
        <v>182786.5118609824</v>
      </c>
      <c r="R318" s="600">
        <f t="shared" si="80"/>
        <v>147330.62483334861</v>
      </c>
      <c r="S318" s="684">
        <f t="shared" si="80"/>
        <v>118762.76068296429</v>
      </c>
    </row>
    <row r="319" spans="3:19" x14ac:dyDescent="0.35">
      <c r="C319" s="437" t="s">
        <v>678</v>
      </c>
      <c r="F319" s="31" t="s">
        <v>682</v>
      </c>
      <c r="G319" s="600">
        <f t="shared" ref="G319:S319" si="81">G309+G299+G279+G269+G289</f>
        <v>129541.58247838981</v>
      </c>
      <c r="H319" s="600">
        <f t="shared" si="81"/>
        <v>132833.107291875</v>
      </c>
      <c r="I319" s="600">
        <f t="shared" si="81"/>
        <v>130887.10303780869</v>
      </c>
      <c r="J319" s="600">
        <f t="shared" si="81"/>
        <v>129809.79841880496</v>
      </c>
      <c r="K319" s="600">
        <f t="shared" si="81"/>
        <v>118172.80752022218</v>
      </c>
      <c r="L319" s="600">
        <f t="shared" si="81"/>
        <v>116316.26298099018</v>
      </c>
      <c r="M319" s="600">
        <f t="shared" si="81"/>
        <v>131581.38833844138</v>
      </c>
      <c r="N319" s="600">
        <f t="shared" si="81"/>
        <v>137584.04398473544</v>
      </c>
      <c r="O319" s="600">
        <f t="shared" si="81"/>
        <v>136254.631516872</v>
      </c>
      <c r="P319" s="600">
        <f t="shared" si="81"/>
        <v>117612.85734268051</v>
      </c>
      <c r="Q319" s="600">
        <f t="shared" si="81"/>
        <v>116318.68936607974</v>
      </c>
      <c r="R319" s="600">
        <f t="shared" si="81"/>
        <v>93755.852166676414</v>
      </c>
      <c r="S319" s="684">
        <f t="shared" si="81"/>
        <v>75576.30225279546</v>
      </c>
    </row>
    <row r="320" spans="3:19" x14ac:dyDescent="0.35">
      <c r="C320" s="438" t="s">
        <v>679</v>
      </c>
      <c r="D320" s="100"/>
      <c r="E320" s="100"/>
      <c r="F320" s="33" t="s">
        <v>681</v>
      </c>
      <c r="G320" s="506">
        <f>G310+G300+G280+G270+G290</f>
        <v>2408906.0575700952</v>
      </c>
      <c r="H320" s="506">
        <f t="shared" ref="H320:S320" si="82">H310+H300+H280+H270+H290</f>
        <v>2518309.6830127519</v>
      </c>
      <c r="I320" s="506">
        <f t="shared" si="82"/>
        <v>2521430.5173748587</v>
      </c>
      <c r="J320" s="506">
        <f t="shared" si="82"/>
        <v>2480429.4676684621</v>
      </c>
      <c r="K320" s="506">
        <f t="shared" si="82"/>
        <v>2383294.5059984624</v>
      </c>
      <c r="L320" s="506">
        <f t="shared" si="82"/>
        <v>2302077.3933010418</v>
      </c>
      <c r="M320" s="506">
        <f t="shared" si="82"/>
        <v>2385111.3793177758</v>
      </c>
      <c r="N320" s="506">
        <f t="shared" si="82"/>
        <v>2502587.023474962</v>
      </c>
      <c r="O320" s="506">
        <f t="shared" si="82"/>
        <v>2491070.1959251021</v>
      </c>
      <c r="P320" s="506">
        <f t="shared" si="82"/>
        <v>2203593.3575569796</v>
      </c>
      <c r="Q320" s="506">
        <f t="shared" si="82"/>
        <v>2350850.2418911052</v>
      </c>
      <c r="R320" s="506">
        <f t="shared" si="82"/>
        <v>2605295.2597976481</v>
      </c>
      <c r="S320" s="685">
        <f t="shared" si="82"/>
        <v>2445974.2853309745</v>
      </c>
    </row>
    <row r="322" spans="3:19" x14ac:dyDescent="0.35">
      <c r="C322" s="15" t="s">
        <v>683</v>
      </c>
    </row>
    <row r="324" spans="3:19" x14ac:dyDescent="0.35">
      <c r="C324" s="561" t="s">
        <v>476</v>
      </c>
      <c r="D324" s="555"/>
      <c r="E324" s="555"/>
      <c r="F324" s="555"/>
      <c r="G324" s="1216"/>
      <c r="H324" s="1216"/>
      <c r="I324" s="1216"/>
      <c r="J324" s="1216"/>
      <c r="K324" s="1216"/>
      <c r="L324" s="1216"/>
      <c r="M324" s="1216"/>
      <c r="N324" s="1216"/>
      <c r="O324" s="1216"/>
      <c r="P324" s="1216"/>
      <c r="Q324" s="1216"/>
      <c r="R324" s="1216"/>
      <c r="S324" s="1217"/>
    </row>
    <row r="325" spans="3:19" x14ac:dyDescent="0.35">
      <c r="C325" s="587" t="s">
        <v>480</v>
      </c>
      <c r="D325" s="588"/>
      <c r="E325" s="104"/>
      <c r="F325" s="104"/>
      <c r="G325" s="529"/>
      <c r="H325" s="529"/>
      <c r="I325" s="529"/>
      <c r="J325" s="529"/>
      <c r="K325" s="529"/>
      <c r="L325" s="529"/>
      <c r="S325" s="31"/>
    </row>
    <row r="326" spans="3:19" x14ac:dyDescent="0.35">
      <c r="C326" s="237" t="s">
        <v>564</v>
      </c>
      <c r="D326" s="588"/>
      <c r="E326" s="104"/>
      <c r="F326" s="104"/>
      <c r="G326" s="529"/>
      <c r="H326" s="529"/>
      <c r="I326" s="529"/>
      <c r="J326" s="529"/>
      <c r="K326" s="529"/>
      <c r="L326" s="529"/>
      <c r="M326" s="385">
        <f>M104</f>
        <v>1160617901.3981094</v>
      </c>
      <c r="N326" s="385">
        <f t="shared" ref="N326:S326" si="83">$M$152*N13</f>
        <v>1169784221.6414392</v>
      </c>
      <c r="O326" s="385">
        <f t="shared" si="83"/>
        <v>1259021045.1867993</v>
      </c>
      <c r="P326" s="385">
        <f t="shared" si="83"/>
        <v>1267648170.1216981</v>
      </c>
      <c r="Q326" s="385">
        <f t="shared" si="83"/>
        <v>1301078279.244431</v>
      </c>
      <c r="R326" s="385">
        <f t="shared" si="83"/>
        <v>1503006922.2519071</v>
      </c>
      <c r="S326" s="503">
        <f t="shared" si="83"/>
        <v>2657154479.9488425</v>
      </c>
    </row>
    <row r="327" spans="3:19" x14ac:dyDescent="0.35">
      <c r="C327" s="237" t="s">
        <v>228</v>
      </c>
      <c r="D327" s="588"/>
      <c r="E327" s="588"/>
      <c r="F327" s="104"/>
      <c r="G327" s="529"/>
      <c r="H327" s="529"/>
      <c r="I327" s="529"/>
      <c r="J327" s="529"/>
      <c r="K327" s="529"/>
      <c r="L327" s="529"/>
      <c r="M327" s="385">
        <f t="shared" ref="M327:M328" si="84">M105</f>
        <v>570128091.91486084</v>
      </c>
      <c r="S327" s="31"/>
    </row>
    <row r="328" spans="3:19" x14ac:dyDescent="0.35">
      <c r="C328" s="237" t="s">
        <v>565</v>
      </c>
      <c r="D328" s="588"/>
      <c r="E328" s="588"/>
      <c r="F328" s="104"/>
      <c r="G328" s="529"/>
      <c r="H328" s="529"/>
      <c r="I328" s="529"/>
      <c r="J328" s="529"/>
      <c r="K328" s="529"/>
      <c r="L328" s="529"/>
      <c r="M328" s="385">
        <f t="shared" si="84"/>
        <v>122170305.410327</v>
      </c>
      <c r="S328" s="31"/>
    </row>
    <row r="329" spans="3:19" x14ac:dyDescent="0.35">
      <c r="C329" s="561" t="s">
        <v>484</v>
      </c>
      <c r="D329" s="555"/>
      <c r="E329" s="555"/>
      <c r="F329" s="555"/>
      <c r="G329" s="1216"/>
      <c r="H329" s="1216"/>
      <c r="I329" s="1216"/>
      <c r="J329" s="1216"/>
      <c r="K329" s="1216"/>
      <c r="L329" s="1216"/>
      <c r="M329" s="1216"/>
      <c r="N329" s="1216"/>
      <c r="O329" s="1216"/>
      <c r="P329" s="1216"/>
      <c r="Q329" s="1216"/>
      <c r="R329" s="1216"/>
      <c r="S329" s="1217"/>
    </row>
    <row r="330" spans="3:19" x14ac:dyDescent="0.35">
      <c r="C330" s="587" t="s">
        <v>480</v>
      </c>
      <c r="D330" s="588"/>
      <c r="E330" s="104"/>
      <c r="F330" s="104"/>
      <c r="G330" s="529"/>
      <c r="H330" s="529"/>
      <c r="I330" s="529"/>
      <c r="J330" s="529"/>
      <c r="K330" s="529"/>
      <c r="L330" s="529"/>
      <c r="S330" s="31"/>
    </row>
    <row r="331" spans="3:19" x14ac:dyDescent="0.35">
      <c r="C331" s="237" t="s">
        <v>564</v>
      </c>
      <c r="D331" s="588"/>
      <c r="E331" s="104"/>
      <c r="F331" s="104"/>
      <c r="G331" s="529"/>
      <c r="H331" s="529"/>
      <c r="I331" s="529"/>
      <c r="J331" s="529"/>
      <c r="K331" s="529"/>
      <c r="L331" s="529"/>
      <c r="M331" s="385">
        <f>M111</f>
        <v>223647535.8371596</v>
      </c>
      <c r="N331" s="385">
        <f t="shared" ref="N331:S331" si="85">$M$159*N13</f>
        <v>225413857.83912554</v>
      </c>
      <c r="O331" s="385">
        <f t="shared" si="85"/>
        <v>242609522.03473529</v>
      </c>
      <c r="P331" s="385">
        <f t="shared" si="85"/>
        <v>244271942.74246797</v>
      </c>
      <c r="Q331" s="385">
        <f t="shared" si="85"/>
        <v>250713822.98493201</v>
      </c>
      <c r="R331" s="385">
        <f t="shared" si="85"/>
        <v>289624857.67529958</v>
      </c>
      <c r="S331" s="503">
        <f t="shared" si="85"/>
        <v>512025577.98165977</v>
      </c>
    </row>
    <row r="332" spans="3:19" x14ac:dyDescent="0.35">
      <c r="C332" s="237" t="s">
        <v>228</v>
      </c>
      <c r="D332" s="588"/>
      <c r="E332" s="104"/>
      <c r="F332" s="104"/>
      <c r="G332" s="529"/>
      <c r="H332" s="529"/>
      <c r="I332" s="529"/>
      <c r="J332" s="529"/>
      <c r="K332" s="529"/>
      <c r="L332" s="529"/>
      <c r="M332" s="385">
        <f t="shared" ref="M332:M333" si="86">M112</f>
        <v>109861947.42878018</v>
      </c>
      <c r="S332" s="31"/>
    </row>
    <row r="333" spans="3:19" x14ac:dyDescent="0.35">
      <c r="C333" s="237" t="s">
        <v>565</v>
      </c>
      <c r="D333" s="588"/>
      <c r="E333" s="104"/>
      <c r="F333" s="104"/>
      <c r="G333" s="529"/>
      <c r="H333" s="529"/>
      <c r="I333" s="529"/>
      <c r="J333" s="529"/>
      <c r="K333" s="529"/>
      <c r="L333" s="529"/>
      <c r="M333" s="385">
        <f t="shared" si="86"/>
        <v>23541845.877595749</v>
      </c>
      <c r="S333" s="31"/>
    </row>
    <row r="334" spans="3:19" x14ac:dyDescent="0.35">
      <c r="C334" s="561" t="s">
        <v>485</v>
      </c>
      <c r="D334" s="555"/>
      <c r="E334" s="555"/>
      <c r="F334" s="555"/>
      <c r="G334" s="1216"/>
      <c r="H334" s="1216"/>
      <c r="I334" s="1216"/>
      <c r="J334" s="1216"/>
      <c r="K334" s="1216"/>
      <c r="L334" s="1216"/>
      <c r="M334" s="1216"/>
      <c r="N334" s="1216"/>
      <c r="O334" s="1216"/>
      <c r="P334" s="1216"/>
      <c r="Q334" s="1216"/>
      <c r="R334" s="1216"/>
      <c r="S334" s="1217"/>
    </row>
    <row r="335" spans="3:19" x14ac:dyDescent="0.35">
      <c r="C335" s="587" t="s">
        <v>480</v>
      </c>
      <c r="D335" s="588"/>
      <c r="E335" s="104"/>
      <c r="F335" s="104"/>
      <c r="G335" s="529"/>
      <c r="H335" s="529"/>
      <c r="I335" s="529"/>
      <c r="J335" s="529"/>
      <c r="K335" s="529"/>
      <c r="L335" s="529"/>
      <c r="S335" s="31"/>
    </row>
    <row r="336" spans="3:19" x14ac:dyDescent="0.35">
      <c r="C336" s="237" t="s">
        <v>564</v>
      </c>
      <c r="D336" s="588"/>
      <c r="E336" s="104"/>
      <c r="F336" s="104"/>
      <c r="G336" s="529"/>
      <c r="H336" s="529"/>
      <c r="I336" s="529"/>
      <c r="J336" s="529"/>
      <c r="K336" s="529"/>
      <c r="L336" s="529"/>
      <c r="M336" s="385">
        <f>M118</f>
        <v>90888053.534264266</v>
      </c>
      <c r="N336" s="385">
        <f t="shared" ref="N336:S336" si="87">$M$166*N13</f>
        <v>91605868.591213167</v>
      </c>
      <c r="O336" s="385">
        <f t="shared" si="87"/>
        <v>98594009.292686209</v>
      </c>
      <c r="P336" s="385">
        <f t="shared" si="87"/>
        <v>99269599.934520468</v>
      </c>
      <c r="Q336" s="385">
        <f t="shared" si="87"/>
        <v>101887513.67162819</v>
      </c>
      <c r="R336" s="385">
        <f t="shared" si="87"/>
        <v>117700557.13206117</v>
      </c>
      <c r="S336" s="503">
        <f t="shared" si="87"/>
        <v>208081917.68494979</v>
      </c>
    </row>
    <row r="337" spans="3:19" x14ac:dyDescent="0.35">
      <c r="C337" s="237" t="s">
        <v>228</v>
      </c>
      <c r="D337" s="588"/>
      <c r="E337" s="104"/>
      <c r="F337" s="104"/>
      <c r="G337" s="529"/>
      <c r="H337" s="529"/>
      <c r="I337" s="529"/>
      <c r="J337" s="529"/>
      <c r="K337" s="529"/>
      <c r="L337" s="529"/>
      <c r="M337" s="385">
        <f t="shared" ref="M337:M338" si="88">M119</f>
        <v>44646763.139638595</v>
      </c>
      <c r="S337" s="31"/>
    </row>
    <row r="338" spans="3:19" x14ac:dyDescent="0.35">
      <c r="C338" s="237" t="s">
        <v>565</v>
      </c>
      <c r="D338" s="588"/>
      <c r="E338" s="104"/>
      <c r="F338" s="104"/>
      <c r="G338" s="529"/>
      <c r="H338" s="529"/>
      <c r="I338" s="529"/>
      <c r="J338" s="529"/>
      <c r="K338" s="529"/>
      <c r="L338" s="529"/>
      <c r="M338" s="385">
        <f t="shared" si="88"/>
        <v>9567163.5299225561</v>
      </c>
      <c r="S338" s="31"/>
    </row>
    <row r="339" spans="3:19" x14ac:dyDescent="0.35">
      <c r="C339" s="561" t="s">
        <v>486</v>
      </c>
      <c r="D339" s="555"/>
      <c r="E339" s="555"/>
      <c r="F339" s="555"/>
      <c r="G339" s="1216"/>
      <c r="H339" s="1216"/>
      <c r="I339" s="1216"/>
      <c r="J339" s="1216"/>
      <c r="K339" s="1216"/>
      <c r="L339" s="1216"/>
      <c r="M339" s="1216"/>
      <c r="N339" s="1216"/>
      <c r="O339" s="1216"/>
      <c r="P339" s="1216"/>
      <c r="Q339" s="1216"/>
      <c r="R339" s="1216"/>
      <c r="S339" s="1217"/>
    </row>
    <row r="340" spans="3:19" x14ac:dyDescent="0.35">
      <c r="C340" s="587" t="s">
        <v>480</v>
      </c>
      <c r="D340" s="589"/>
      <c r="E340" s="104"/>
      <c r="F340" s="104"/>
      <c r="G340" s="529"/>
      <c r="H340" s="529"/>
      <c r="I340" s="529"/>
      <c r="J340" s="529"/>
      <c r="K340" s="529"/>
      <c r="L340" s="529"/>
      <c r="S340" s="31"/>
    </row>
    <row r="341" spans="3:19" x14ac:dyDescent="0.35">
      <c r="C341" s="237" t="s">
        <v>564</v>
      </c>
      <c r="D341" s="589"/>
      <c r="E341" s="104"/>
      <c r="F341" s="104"/>
      <c r="G341" s="529"/>
      <c r="H341" s="529"/>
      <c r="I341" s="529"/>
      <c r="J341" s="529"/>
      <c r="K341" s="529"/>
      <c r="L341" s="529"/>
      <c r="M341" s="385">
        <f>M125</f>
        <v>85588085.373485252</v>
      </c>
      <c r="N341" s="385">
        <f t="shared" ref="N341:S341" si="89">$M$173*N13</f>
        <v>86264042.377596393</v>
      </c>
      <c r="O341" s="385">
        <f t="shared" si="89"/>
        <v>92844682.623502001</v>
      </c>
      <c r="P341" s="385">
        <f t="shared" si="89"/>
        <v>93480877.450900748</v>
      </c>
      <c r="Q341" s="385">
        <f t="shared" si="89"/>
        <v>95946132.407070816</v>
      </c>
      <c r="R341" s="385">
        <f t="shared" si="89"/>
        <v>110837067.58587231</v>
      </c>
      <c r="S341" s="503">
        <f t="shared" si="89"/>
        <v>195948006.83880854</v>
      </c>
    </row>
    <row r="342" spans="3:19" x14ac:dyDescent="0.35">
      <c r="C342" s="237" t="s">
        <v>228</v>
      </c>
      <c r="D342" s="588"/>
      <c r="E342" s="104"/>
      <c r="F342" s="104"/>
      <c r="G342" s="529"/>
      <c r="H342" s="529"/>
      <c r="I342" s="529"/>
      <c r="J342" s="529"/>
      <c r="K342" s="529"/>
      <c r="L342" s="529"/>
      <c r="M342" s="385">
        <f t="shared" ref="M342:M343" si="90">M126</f>
        <v>42043270.008027852</v>
      </c>
      <c r="S342" s="31"/>
    </row>
    <row r="343" spans="3:19" x14ac:dyDescent="0.35">
      <c r="C343" s="237" t="s">
        <v>565</v>
      </c>
      <c r="D343" s="588"/>
      <c r="E343" s="104"/>
      <c r="F343" s="104"/>
      <c r="G343" s="529"/>
      <c r="H343" s="529"/>
      <c r="I343" s="529"/>
      <c r="J343" s="529"/>
      <c r="K343" s="529"/>
      <c r="L343" s="529"/>
      <c r="M343" s="385">
        <f t="shared" si="90"/>
        <v>9009272.144577397</v>
      </c>
      <c r="S343" s="31"/>
    </row>
    <row r="344" spans="3:19" x14ac:dyDescent="0.35">
      <c r="C344" s="561" t="s">
        <v>487</v>
      </c>
      <c r="D344" s="555"/>
      <c r="E344" s="555"/>
      <c r="F344" s="555"/>
      <c r="G344" s="1216"/>
      <c r="H344" s="1216"/>
      <c r="I344" s="1216"/>
      <c r="J344" s="1216"/>
      <c r="K344" s="1216"/>
      <c r="L344" s="1216"/>
      <c r="M344" s="1216"/>
      <c r="N344" s="1216"/>
      <c r="O344" s="1216"/>
      <c r="P344" s="1216"/>
      <c r="Q344" s="1216"/>
      <c r="R344" s="1216"/>
      <c r="S344" s="1217"/>
    </row>
    <row r="345" spans="3:19" x14ac:dyDescent="0.35">
      <c r="C345" s="587" t="s">
        <v>480</v>
      </c>
      <c r="D345" s="588"/>
      <c r="E345" s="104"/>
      <c r="F345" s="104"/>
      <c r="G345" s="529"/>
      <c r="H345" s="529"/>
      <c r="I345" s="529"/>
      <c r="J345" s="529"/>
      <c r="K345" s="529"/>
      <c r="L345" s="529"/>
      <c r="S345" s="31"/>
    </row>
    <row r="346" spans="3:19" x14ac:dyDescent="0.35">
      <c r="C346" s="237" t="s">
        <v>564</v>
      </c>
      <c r="D346" s="588"/>
      <c r="E346" s="104"/>
      <c r="F346" s="104"/>
      <c r="G346" s="529"/>
      <c r="H346" s="529"/>
      <c r="I346" s="529"/>
      <c r="J346" s="529"/>
      <c r="K346" s="529"/>
      <c r="L346" s="529"/>
      <c r="M346" s="385">
        <f>M132</f>
        <v>34088421.300377995</v>
      </c>
      <c r="N346" s="385">
        <f t="shared" ref="N346:S346" si="91">$M$180*N13</f>
        <v>34357644.604492478</v>
      </c>
      <c r="O346" s="385">
        <f t="shared" si="91"/>
        <v>36978612.653371714</v>
      </c>
      <c r="P346" s="385">
        <f t="shared" si="91"/>
        <v>37231999.292538293</v>
      </c>
      <c r="Q346" s="385">
        <f t="shared" si="91"/>
        <v>38213872.519308761</v>
      </c>
      <c r="R346" s="385">
        <f t="shared" si="91"/>
        <v>44144703.542301349</v>
      </c>
      <c r="S346" s="503">
        <f t="shared" si="91"/>
        <v>78043084.863304421</v>
      </c>
    </row>
    <row r="347" spans="3:19" x14ac:dyDescent="0.35">
      <c r="C347" s="237" t="s">
        <v>228</v>
      </c>
      <c r="D347" s="588"/>
      <c r="E347" s="104"/>
      <c r="F347" s="104"/>
      <c r="G347" s="529"/>
      <c r="H347" s="529"/>
      <c r="I347" s="529"/>
      <c r="J347" s="529"/>
      <c r="K347" s="529"/>
      <c r="L347" s="529"/>
      <c r="M347" s="385">
        <f t="shared" ref="M347:M348" si="92">M133</f>
        <v>16745189.410712</v>
      </c>
      <c r="S347" s="31"/>
    </row>
    <row r="348" spans="3:19" x14ac:dyDescent="0.35">
      <c r="C348" s="237" t="s">
        <v>565</v>
      </c>
      <c r="D348" s="588"/>
      <c r="E348" s="104"/>
      <c r="F348" s="104"/>
      <c r="G348" s="529"/>
      <c r="H348" s="529"/>
      <c r="I348" s="529"/>
      <c r="J348" s="529"/>
      <c r="K348" s="529"/>
      <c r="L348" s="529"/>
      <c r="M348" s="385">
        <f t="shared" si="92"/>
        <v>3588254.8737239996</v>
      </c>
      <c r="S348" s="31"/>
    </row>
    <row r="349" spans="3:19" x14ac:dyDescent="0.35">
      <c r="C349" s="1213" t="s">
        <v>277</v>
      </c>
      <c r="D349" s="1214"/>
      <c r="E349" s="1215"/>
      <c r="F349" s="1215"/>
      <c r="G349" s="1216"/>
      <c r="H349" s="1216"/>
      <c r="I349" s="1216"/>
      <c r="J349" s="1216"/>
      <c r="K349" s="1216"/>
      <c r="L349" s="1216"/>
      <c r="M349" s="1216"/>
      <c r="N349" s="1216"/>
      <c r="O349" s="1216"/>
      <c r="P349" s="1216"/>
      <c r="Q349" s="1216"/>
      <c r="R349" s="1216"/>
      <c r="S349" s="1217"/>
    </row>
    <row r="350" spans="3:19" x14ac:dyDescent="0.35">
      <c r="C350" s="587" t="s">
        <v>480</v>
      </c>
      <c r="D350" s="588"/>
      <c r="E350" s="104"/>
      <c r="F350" s="104"/>
      <c r="G350" s="529"/>
      <c r="H350" s="529"/>
      <c r="I350" s="529"/>
      <c r="J350" s="529"/>
      <c r="K350" s="529"/>
      <c r="L350" s="529"/>
      <c r="S350" s="31"/>
    </row>
    <row r="351" spans="3:19" x14ac:dyDescent="0.35">
      <c r="C351" s="237" t="s">
        <v>662</v>
      </c>
      <c r="D351" s="588"/>
      <c r="E351" s="104"/>
      <c r="F351" s="104"/>
      <c r="G351" s="529"/>
      <c r="H351" s="529"/>
      <c r="I351" s="529"/>
      <c r="J351" s="529"/>
      <c r="K351" s="529"/>
      <c r="L351" s="529"/>
      <c r="M351" s="385">
        <f>M139</f>
        <v>1594829997.4433966</v>
      </c>
      <c r="N351" s="385">
        <f t="shared" ref="N351:S351" si="93">$M$187*N13</f>
        <v>1607425635.0538669</v>
      </c>
      <c r="O351" s="385">
        <f t="shared" si="93"/>
        <v>1730047871.7910943</v>
      </c>
      <c r="P351" s="385">
        <f t="shared" si="93"/>
        <v>1741902589.5421255</v>
      </c>
      <c r="Q351" s="385">
        <f t="shared" si="93"/>
        <v>1787839620.8273709</v>
      </c>
      <c r="R351" s="385">
        <f t="shared" si="93"/>
        <v>2065314108.1874413</v>
      </c>
      <c r="S351" s="503">
        <f t="shared" si="93"/>
        <v>3651253067.317565</v>
      </c>
    </row>
    <row r="352" spans="3:19" x14ac:dyDescent="0.35">
      <c r="C352" s="237" t="s">
        <v>663</v>
      </c>
      <c r="D352" s="588"/>
      <c r="E352" s="104"/>
      <c r="F352" s="104"/>
      <c r="G352" s="529"/>
      <c r="H352" s="529"/>
      <c r="I352" s="529"/>
      <c r="J352" s="529"/>
      <c r="K352" s="529"/>
      <c r="L352" s="529"/>
      <c r="M352" s="385">
        <f>M140</f>
        <v>783425261.9020195</v>
      </c>
      <c r="N352" s="385">
        <f t="shared" ref="N352:S352" si="94">M188*N31</f>
        <v>857688338.79588294</v>
      </c>
      <c r="O352" s="385">
        <f t="shared" si="94"/>
        <v>816597294.15902615</v>
      </c>
      <c r="P352" s="385">
        <f t="shared" si="94"/>
        <v>765609182.46244514</v>
      </c>
      <c r="Q352" s="385">
        <f t="shared" si="94"/>
        <v>976976193.58895707</v>
      </c>
      <c r="R352" s="385">
        <f t="shared" si="94"/>
        <v>1335291555.6355913</v>
      </c>
      <c r="S352" s="385">
        <f t="shared" si="94"/>
        <v>1276184276.0920067</v>
      </c>
    </row>
    <row r="353" spans="3:19" x14ac:dyDescent="0.35">
      <c r="C353" s="237" t="s">
        <v>664</v>
      </c>
      <c r="D353" s="588"/>
      <c r="E353" s="104"/>
      <c r="F353" s="104"/>
      <c r="G353" s="529"/>
      <c r="H353" s="529"/>
      <c r="I353" s="529"/>
      <c r="J353" s="529"/>
      <c r="K353" s="529"/>
      <c r="L353" s="529"/>
      <c r="M353" s="385">
        <f>M141</f>
        <v>167876841.83614671</v>
      </c>
      <c r="N353" s="385">
        <f t="shared" ref="N353:S353" si="95">M189*N41</f>
        <v>206468047.71918371</v>
      </c>
      <c r="O353" s="385">
        <f t="shared" si="95"/>
        <v>177772624.90685663</v>
      </c>
      <c r="P353" s="385">
        <f t="shared" si="95"/>
        <v>145515857.721724</v>
      </c>
      <c r="Q353" s="385">
        <f t="shared" si="95"/>
        <v>201644792.830109</v>
      </c>
      <c r="R353" s="385">
        <f t="shared" si="95"/>
        <v>292991887.18364573</v>
      </c>
      <c r="S353" s="385">
        <f t="shared" si="95"/>
        <v>192986640.02697775</v>
      </c>
    </row>
    <row r="354" spans="3:19" x14ac:dyDescent="0.35">
      <c r="C354" s="521" t="s">
        <v>573</v>
      </c>
      <c r="D354" s="670"/>
      <c r="E354" s="671"/>
      <c r="F354" s="671"/>
      <c r="G354" s="1212"/>
      <c r="H354" s="1212"/>
      <c r="I354" s="1212"/>
      <c r="J354" s="1212"/>
      <c r="K354" s="1212"/>
      <c r="L354" s="1212"/>
      <c r="M354" s="100"/>
      <c r="N354" s="100"/>
      <c r="O354" s="100"/>
      <c r="P354" s="100"/>
      <c r="Q354" s="100"/>
      <c r="R354" s="100"/>
      <c r="S354" s="33"/>
    </row>
    <row r="357" spans="3:19" x14ac:dyDescent="0.35">
      <c r="C357" s="15" t="s">
        <v>684</v>
      </c>
    </row>
    <row r="358" spans="3:19" x14ac:dyDescent="0.35">
      <c r="G358" s="418">
        <v>2011</v>
      </c>
      <c r="H358" s="419">
        <v>2012</v>
      </c>
      <c r="I358" s="419">
        <v>2013</v>
      </c>
      <c r="J358" s="419">
        <v>2014</v>
      </c>
      <c r="K358" s="419">
        <v>2015</v>
      </c>
      <c r="L358" s="419">
        <v>2016</v>
      </c>
      <c r="M358" s="419">
        <v>2017</v>
      </c>
      <c r="N358" s="419">
        <v>2018</v>
      </c>
      <c r="O358" s="419">
        <v>2019</v>
      </c>
      <c r="P358" s="419">
        <v>2020</v>
      </c>
      <c r="Q358" s="419">
        <v>2021</v>
      </c>
      <c r="R358" s="419">
        <v>2022</v>
      </c>
      <c r="S358" s="420">
        <v>2023</v>
      </c>
    </row>
    <row r="359" spans="3:19" x14ac:dyDescent="0.35">
      <c r="C359" s="593" t="s">
        <v>476</v>
      </c>
      <c r="D359" s="594"/>
      <c r="E359" s="594"/>
      <c r="F359" s="1211"/>
      <c r="G359" s="1221"/>
      <c r="H359" s="1222"/>
      <c r="I359" s="1222"/>
      <c r="J359" s="1222"/>
      <c r="K359" s="1222"/>
      <c r="L359" s="1222"/>
      <c r="M359" s="1222"/>
      <c r="N359" s="1222"/>
      <c r="O359" s="1222"/>
      <c r="P359" s="1222"/>
      <c r="Q359" s="1222"/>
      <c r="R359" s="1222"/>
      <c r="S359" s="1223"/>
    </row>
    <row r="360" spans="3:19" x14ac:dyDescent="0.35">
      <c r="C360" s="510" t="s">
        <v>482</v>
      </c>
      <c r="D360" s="379"/>
      <c r="F360" s="239" t="s">
        <v>668</v>
      </c>
      <c r="G360" s="1224"/>
      <c r="H360" s="529"/>
      <c r="I360" s="529"/>
      <c r="J360" s="529"/>
      <c r="K360" s="529"/>
      <c r="L360" s="529"/>
      <c r="S360" s="31"/>
    </row>
    <row r="361" spans="3:19" x14ac:dyDescent="0.35">
      <c r="C361" s="74" t="s">
        <v>582</v>
      </c>
      <c r="D361" s="379"/>
      <c r="E361" s="379"/>
      <c r="F361" s="31"/>
      <c r="G361" s="1224"/>
      <c r="H361" s="529"/>
      <c r="I361" s="529"/>
      <c r="J361" s="529"/>
      <c r="K361" s="529"/>
      <c r="L361" s="529"/>
      <c r="M361" s="385">
        <f>M198</f>
        <v>179986723.80937156</v>
      </c>
      <c r="S361" s="31"/>
    </row>
    <row r="362" spans="3:19" x14ac:dyDescent="0.35">
      <c r="C362" s="74" t="s">
        <v>583</v>
      </c>
      <c r="D362" s="379"/>
      <c r="E362" s="379"/>
      <c r="F362" s="31"/>
      <c r="G362" s="1224"/>
      <c r="H362" s="529"/>
      <c r="I362" s="529"/>
      <c r="J362" s="529"/>
      <c r="K362" s="529"/>
      <c r="L362" s="529"/>
      <c r="M362" s="385">
        <f>M199</f>
        <v>55584135.294070624</v>
      </c>
      <c r="S362" s="31"/>
    </row>
    <row r="363" spans="3:19" x14ac:dyDescent="0.35">
      <c r="C363" s="464" t="s">
        <v>484</v>
      </c>
      <c r="D363" s="555"/>
      <c r="E363" s="555"/>
      <c r="F363" s="606"/>
      <c r="G363" s="1225"/>
      <c r="H363" s="1216"/>
      <c r="I363" s="1216"/>
      <c r="J363" s="1216"/>
      <c r="K363" s="1216"/>
      <c r="L363" s="1216"/>
      <c r="M363" s="1216"/>
      <c r="N363" s="1216"/>
      <c r="O363" s="1216"/>
      <c r="P363" s="1216"/>
      <c r="Q363" s="1216"/>
      <c r="R363" s="1216"/>
      <c r="S363" s="1217"/>
    </row>
    <row r="364" spans="3:19" x14ac:dyDescent="0.35">
      <c r="C364" s="515" t="s">
        <v>482</v>
      </c>
      <c r="D364" s="379"/>
      <c r="F364" s="239" t="s">
        <v>668</v>
      </c>
      <c r="G364" s="1224"/>
      <c r="H364" s="529"/>
      <c r="I364" s="529"/>
      <c r="J364" s="529"/>
      <c r="K364" s="529"/>
      <c r="L364" s="529"/>
      <c r="S364" s="31"/>
    </row>
    <row r="365" spans="3:19" x14ac:dyDescent="0.35">
      <c r="C365" s="74" t="s">
        <v>582</v>
      </c>
      <c r="D365" s="379"/>
      <c r="F365" s="31"/>
      <c r="G365" s="1224"/>
      <c r="H365" s="529"/>
      <c r="I365" s="529"/>
      <c r="J365" s="529"/>
      <c r="K365" s="529"/>
      <c r="L365" s="529"/>
      <c r="M365" s="385">
        <f>M208</f>
        <v>115161009.76063053</v>
      </c>
      <c r="S365" s="31"/>
    </row>
    <row r="366" spans="3:19" x14ac:dyDescent="0.35">
      <c r="C366" s="74" t="s">
        <v>583</v>
      </c>
      <c r="D366" s="379"/>
      <c r="F366" s="31"/>
      <c r="G366" s="1224"/>
      <c r="H366" s="529"/>
      <c r="I366" s="529"/>
      <c r="J366" s="529"/>
      <c r="K366" s="529"/>
      <c r="L366" s="529"/>
      <c r="M366" s="385">
        <f>M209</f>
        <v>35564429.484900601</v>
      </c>
      <c r="S366" s="31"/>
    </row>
    <row r="367" spans="3:19" x14ac:dyDescent="0.35">
      <c r="C367" s="464" t="s">
        <v>485</v>
      </c>
      <c r="D367" s="555"/>
      <c r="E367" s="555"/>
      <c r="F367" s="606"/>
      <c r="G367" s="1225"/>
      <c r="H367" s="1216"/>
      <c r="I367" s="1216"/>
      <c r="J367" s="1216"/>
      <c r="K367" s="1216"/>
      <c r="L367" s="1216"/>
      <c r="M367" s="1216"/>
      <c r="N367" s="1216"/>
      <c r="O367" s="1216"/>
      <c r="P367" s="1216"/>
      <c r="Q367" s="1216"/>
      <c r="R367" s="1216"/>
      <c r="S367" s="1217"/>
    </row>
    <row r="368" spans="3:19" x14ac:dyDescent="0.35">
      <c r="C368" s="515" t="s">
        <v>482</v>
      </c>
      <c r="F368" s="239" t="s">
        <v>668</v>
      </c>
      <c r="G368" s="1224"/>
      <c r="H368" s="529"/>
      <c r="I368" s="529"/>
      <c r="J368" s="529"/>
      <c r="K368" s="529"/>
      <c r="L368" s="529"/>
      <c r="S368" s="31"/>
    </row>
    <row r="369" spans="3:19" x14ac:dyDescent="0.35">
      <c r="C369" s="74" t="s">
        <v>582</v>
      </c>
      <c r="F369" s="31"/>
      <c r="G369" s="1224"/>
      <c r="H369" s="529"/>
      <c r="I369" s="529"/>
      <c r="J369" s="529"/>
      <c r="K369" s="529"/>
      <c r="L369" s="529"/>
      <c r="M369" s="385">
        <f>M218</f>
        <v>46470748.937042236</v>
      </c>
      <c r="S369" s="31"/>
    </row>
    <row r="370" spans="3:19" x14ac:dyDescent="0.35">
      <c r="C370" s="74" t="s">
        <v>583</v>
      </c>
      <c r="F370" s="31"/>
      <c r="G370" s="1224"/>
      <c r="H370" s="529"/>
      <c r="I370" s="529"/>
      <c r="J370" s="529"/>
      <c r="K370" s="529"/>
      <c r="L370" s="529"/>
      <c r="M370" s="385">
        <f>M219</f>
        <v>14351260.701145394</v>
      </c>
      <c r="S370" s="31"/>
    </row>
    <row r="371" spans="3:19" x14ac:dyDescent="0.35">
      <c r="C371" s="464" t="s">
        <v>486</v>
      </c>
      <c r="D371" s="555"/>
      <c r="E371" s="555"/>
      <c r="F371" s="606"/>
      <c r="G371" s="1225"/>
      <c r="H371" s="1216"/>
      <c r="I371" s="1216"/>
      <c r="J371" s="1216"/>
      <c r="K371" s="1216"/>
      <c r="L371" s="1216"/>
      <c r="M371" s="1216"/>
      <c r="N371" s="1216"/>
      <c r="O371" s="1216"/>
      <c r="P371" s="1216"/>
      <c r="Q371" s="1216"/>
      <c r="R371" s="1216"/>
      <c r="S371" s="1217"/>
    </row>
    <row r="372" spans="3:19" x14ac:dyDescent="0.35">
      <c r="C372" s="515" t="s">
        <v>482</v>
      </c>
      <c r="F372" s="239" t="s">
        <v>668</v>
      </c>
      <c r="G372" s="1224"/>
      <c r="H372" s="529"/>
      <c r="I372" s="529"/>
      <c r="J372" s="529"/>
      <c r="K372" s="529"/>
      <c r="L372" s="529"/>
      <c r="S372" s="31"/>
    </row>
    <row r="373" spans="3:19" x14ac:dyDescent="0.35">
      <c r="C373" s="74" t="s">
        <v>582</v>
      </c>
      <c r="F373" s="31"/>
      <c r="G373" s="1224"/>
      <c r="H373" s="529"/>
      <c r="I373" s="529"/>
      <c r="J373" s="529"/>
      <c r="K373" s="529"/>
      <c r="L373" s="529"/>
      <c r="M373" s="385">
        <f>M228</f>
        <v>70814928.342117399</v>
      </c>
      <c r="S373" s="31"/>
    </row>
    <row r="374" spans="3:19" x14ac:dyDescent="0.35">
      <c r="C374" s="74" t="s">
        <v>583</v>
      </c>
      <c r="F374" s="31"/>
      <c r="G374" s="1224"/>
      <c r="H374" s="529"/>
      <c r="I374" s="529"/>
      <c r="J374" s="529"/>
      <c r="K374" s="529"/>
      <c r="L374" s="529"/>
      <c r="M374" s="385">
        <f>M229</f>
        <v>21869316.105653897</v>
      </c>
      <c r="S374" s="31"/>
    </row>
    <row r="375" spans="3:19" x14ac:dyDescent="0.35">
      <c r="C375" s="464" t="s">
        <v>487</v>
      </c>
      <c r="D375" s="555"/>
      <c r="E375" s="555"/>
      <c r="F375" s="606"/>
      <c r="G375" s="1225"/>
      <c r="H375" s="1216"/>
      <c r="I375" s="1216"/>
      <c r="J375" s="1216"/>
      <c r="K375" s="1216"/>
      <c r="L375" s="1216"/>
      <c r="M375" s="1216"/>
      <c r="N375" s="1216"/>
      <c r="O375" s="1216"/>
      <c r="P375" s="1216"/>
      <c r="Q375" s="1216"/>
      <c r="R375" s="1216"/>
      <c r="S375" s="1217"/>
    </row>
    <row r="376" spans="3:19" x14ac:dyDescent="0.35">
      <c r="C376" s="515" t="s">
        <v>482</v>
      </c>
      <c r="F376" s="239" t="s">
        <v>668</v>
      </c>
      <c r="G376" s="1224"/>
      <c r="H376" s="529"/>
      <c r="I376" s="529"/>
      <c r="J376" s="529"/>
      <c r="K376" s="529"/>
      <c r="L376" s="529"/>
      <c r="S376" s="31"/>
    </row>
    <row r="377" spans="3:19" x14ac:dyDescent="0.35">
      <c r="C377" s="74" t="s">
        <v>582</v>
      </c>
      <c r="F377" s="31"/>
      <c r="G377" s="1224"/>
      <c r="H377" s="529"/>
      <c r="I377" s="529"/>
      <c r="J377" s="529"/>
      <c r="K377" s="529"/>
      <c r="L377" s="529"/>
      <c r="M377" s="385">
        <f>M238</f>
        <v>3311750.9939999999</v>
      </c>
      <c r="S377" s="31"/>
    </row>
    <row r="378" spans="3:19" x14ac:dyDescent="0.35">
      <c r="C378" s="74" t="s">
        <v>583</v>
      </c>
      <c r="F378" s="31"/>
      <c r="G378" s="1224"/>
      <c r="H378" s="529"/>
      <c r="I378" s="529"/>
      <c r="J378" s="529"/>
      <c r="K378" s="529"/>
      <c r="L378" s="529"/>
      <c r="M378" s="385">
        <f>M239</f>
        <v>1022746.6305</v>
      </c>
      <c r="S378" s="31"/>
    </row>
    <row r="379" spans="3:19" x14ac:dyDescent="0.35">
      <c r="C379" s="682" t="s">
        <v>277</v>
      </c>
      <c r="D379" s="555"/>
      <c r="E379" s="555"/>
      <c r="F379" s="606"/>
      <c r="G379" s="1225"/>
      <c r="H379" s="1216"/>
      <c r="I379" s="1216"/>
      <c r="J379" s="1216"/>
      <c r="K379" s="1216"/>
      <c r="L379" s="1216"/>
      <c r="M379" s="1216"/>
      <c r="N379" s="1216"/>
      <c r="O379" s="1216"/>
      <c r="P379" s="1216"/>
      <c r="Q379" s="1216"/>
      <c r="R379" s="1216"/>
      <c r="S379" s="1217"/>
    </row>
    <row r="380" spans="3:19" x14ac:dyDescent="0.35">
      <c r="C380" s="683" t="s">
        <v>482</v>
      </c>
      <c r="D380" s="73"/>
      <c r="E380" s="73"/>
      <c r="F380" s="565" t="s">
        <v>668</v>
      </c>
      <c r="G380" s="1224"/>
      <c r="H380" s="529"/>
      <c r="I380" s="529"/>
      <c r="J380" s="529"/>
      <c r="K380" s="529"/>
      <c r="L380" s="529"/>
      <c r="S380" s="31"/>
    </row>
    <row r="381" spans="3:19" x14ac:dyDescent="0.35">
      <c r="C381" s="74" t="s">
        <v>673</v>
      </c>
      <c r="F381" s="31"/>
      <c r="G381" s="1224"/>
      <c r="H381" s="529"/>
      <c r="I381" s="529"/>
      <c r="J381" s="529"/>
      <c r="K381" s="529"/>
      <c r="L381" s="529"/>
      <c r="M381" s="385">
        <f>M248</f>
        <v>415745161.8431617</v>
      </c>
      <c r="N381" s="385">
        <f>M313*N71</f>
        <v>484776877.5307613</v>
      </c>
      <c r="O381" s="385">
        <f>N313*O71</f>
        <v>477003175.18737417</v>
      </c>
      <c r="P381" s="385">
        <f t="shared" ref="P381:S381" si="96">O313*P71</f>
        <v>414322890.61257511</v>
      </c>
      <c r="Q381" s="385">
        <f t="shared" si="96"/>
        <v>428914850.54397571</v>
      </c>
      <c r="R381" s="385">
        <f t="shared" si="96"/>
        <v>594817937.81299627</v>
      </c>
      <c r="S381" s="503">
        <f t="shared" si="96"/>
        <v>575140411.57652128</v>
      </c>
    </row>
    <row r="382" spans="3:19" x14ac:dyDescent="0.35">
      <c r="C382" s="99" t="s">
        <v>674</v>
      </c>
      <c r="D382" s="100"/>
      <c r="E382" s="100"/>
      <c r="F382" s="33"/>
      <c r="G382" s="1226"/>
      <c r="H382" s="1212"/>
      <c r="I382" s="1212"/>
      <c r="J382" s="1212"/>
      <c r="K382" s="1212"/>
      <c r="L382" s="1212"/>
      <c r="M382" s="507">
        <f>M249</f>
        <v>128391888.21627052</v>
      </c>
      <c r="N382" s="507">
        <f>M314*N75</f>
        <v>140075635.68279287</v>
      </c>
      <c r="O382" s="507">
        <f t="shared" ref="O382:S382" si="97">N314*O75</f>
        <v>146967993.07771254</v>
      </c>
      <c r="P382" s="507">
        <f t="shared" si="97"/>
        <v>131915506.29383227</v>
      </c>
      <c r="Q382" s="507">
        <f t="shared" si="97"/>
        <v>133090923.16341835</v>
      </c>
      <c r="R382" s="507">
        <f t="shared" si="97"/>
        <v>165221233.18989652</v>
      </c>
      <c r="S382" s="508">
        <f t="shared" si="97"/>
        <v>190099039.72900146</v>
      </c>
    </row>
    <row r="384" spans="3:19" x14ac:dyDescent="0.35">
      <c r="C384" s="15" t="s">
        <v>685</v>
      </c>
      <c r="G384" s="467">
        <v>2011</v>
      </c>
      <c r="H384" s="468">
        <v>2012</v>
      </c>
      <c r="I384" s="468">
        <v>2013</v>
      </c>
      <c r="J384" s="468">
        <v>2014</v>
      </c>
      <c r="K384" s="468">
        <v>2015</v>
      </c>
      <c r="L384" s="468">
        <v>2016</v>
      </c>
      <c r="M384" s="468">
        <v>2017</v>
      </c>
      <c r="N384" s="468">
        <v>2018</v>
      </c>
      <c r="O384" s="468">
        <v>2019</v>
      </c>
      <c r="P384" s="468">
        <v>2020</v>
      </c>
      <c r="Q384" s="468">
        <v>2021</v>
      </c>
      <c r="R384" s="468">
        <v>2022</v>
      </c>
      <c r="S384" s="469">
        <v>2023</v>
      </c>
    </row>
    <row r="385" spans="3:21" x14ac:dyDescent="0.35">
      <c r="C385" s="1218" t="s">
        <v>277</v>
      </c>
      <c r="D385" s="1219"/>
      <c r="E385" s="1220"/>
      <c r="F385" s="1220"/>
      <c r="G385" s="1221"/>
      <c r="H385" s="1222"/>
      <c r="I385" s="1222"/>
      <c r="J385" s="1222"/>
      <c r="K385" s="1222"/>
      <c r="L385" s="1222"/>
      <c r="M385" s="1222"/>
      <c r="N385" s="1222"/>
      <c r="O385" s="1222"/>
      <c r="P385" s="1222"/>
      <c r="Q385" s="1222"/>
      <c r="R385" s="1222"/>
      <c r="S385" s="1223"/>
      <c r="U385" t="s">
        <v>686</v>
      </c>
    </row>
    <row r="386" spans="3:21" x14ac:dyDescent="0.35">
      <c r="C386" s="587" t="s">
        <v>480</v>
      </c>
      <c r="D386" s="588"/>
      <c r="E386" s="104"/>
      <c r="F386" s="104"/>
      <c r="G386" s="1224"/>
      <c r="H386" s="529"/>
      <c r="I386" s="529"/>
      <c r="J386" s="529"/>
      <c r="K386" s="529"/>
      <c r="L386" s="529"/>
      <c r="S386" s="31"/>
    </row>
    <row r="387" spans="3:21" x14ac:dyDescent="0.35">
      <c r="C387" s="237" t="s">
        <v>662</v>
      </c>
      <c r="D387" s="588"/>
      <c r="E387" s="104"/>
      <c r="F387" s="104"/>
      <c r="G387" s="1224"/>
      <c r="H387" s="529"/>
      <c r="I387" s="529"/>
      <c r="J387" s="529"/>
      <c r="K387" s="529"/>
      <c r="L387" s="529"/>
      <c r="M387" s="385">
        <f>M139-M351</f>
        <v>0</v>
      </c>
      <c r="N387" s="385">
        <f t="shared" ref="N387:R387" si="98">N139-N351</f>
        <v>46559297.166955233</v>
      </c>
      <c r="O387" s="385">
        <f>O139-O351</f>
        <v>-44639320.323186874</v>
      </c>
      <c r="P387" s="385">
        <f t="shared" si="98"/>
        <v>-125331173.65172029</v>
      </c>
      <c r="Q387" s="385">
        <f t="shared" si="98"/>
        <v>-88868823.074652672</v>
      </c>
      <c r="R387" s="385">
        <f t="shared" si="98"/>
        <v>83211089.883867741</v>
      </c>
      <c r="S387" s="503">
        <f>S139-S351</f>
        <v>-876639921.70150661</v>
      </c>
      <c r="U387" s="1227">
        <f>SUM(M387:S387)</f>
        <v>-1005708851.7002435</v>
      </c>
    </row>
    <row r="388" spans="3:21" x14ac:dyDescent="0.35">
      <c r="C388" s="237" t="s">
        <v>663</v>
      </c>
      <c r="D388" s="588"/>
      <c r="E388" s="104"/>
      <c r="F388" s="104"/>
      <c r="G388" s="1224"/>
      <c r="H388" s="529"/>
      <c r="I388" s="529"/>
      <c r="J388" s="529"/>
      <c r="K388" s="529"/>
      <c r="L388" s="529"/>
      <c r="M388" s="385">
        <f t="shared" ref="M388:S389" si="99">M140-M352</f>
        <v>0</v>
      </c>
      <c r="N388" s="385">
        <f t="shared" si="99"/>
        <v>-45204512.441794634</v>
      </c>
      <c r="O388" s="385">
        <f t="shared" si="99"/>
        <v>11895746.415918112</v>
      </c>
      <c r="P388" s="385">
        <f t="shared" si="99"/>
        <v>28496074.466175199</v>
      </c>
      <c r="Q388" s="385">
        <f t="shared" si="99"/>
        <v>-142394047.32446384</v>
      </c>
      <c r="R388" s="385">
        <f t="shared" si="99"/>
        <v>-279875668.86371994</v>
      </c>
      <c r="S388" s="503">
        <f t="shared" si="99"/>
        <v>86783584.912373304</v>
      </c>
      <c r="U388" s="684">
        <f t="shared" ref="U388:U394" si="100">SUM(M388:S388)</f>
        <v>-340298822.8355118</v>
      </c>
    </row>
    <row r="389" spans="3:21" x14ac:dyDescent="0.35">
      <c r="C389" s="237" t="s">
        <v>664</v>
      </c>
      <c r="D389" s="588"/>
      <c r="E389" s="104"/>
      <c r="F389" s="104"/>
      <c r="G389" s="1224"/>
      <c r="H389" s="529"/>
      <c r="I389" s="529"/>
      <c r="J389" s="529"/>
      <c r="K389" s="529"/>
      <c r="L389" s="529"/>
      <c r="M389" s="385">
        <f t="shared" si="99"/>
        <v>0</v>
      </c>
      <c r="N389" s="385">
        <f t="shared" si="99"/>
        <v>-32364370.643307686</v>
      </c>
      <c r="O389" s="385">
        <f t="shared" si="99"/>
        <v>-361198.43655058742</v>
      </c>
      <c r="P389" s="385">
        <f t="shared" si="99"/>
        <v>24649554.477266043</v>
      </c>
      <c r="Q389" s="385">
        <f t="shared" si="99"/>
        <v>-22805761.487717628</v>
      </c>
      <c r="R389" s="385">
        <f t="shared" si="99"/>
        <v>-66831340.018244743</v>
      </c>
      <c r="S389" s="503">
        <f t="shared" si="99"/>
        <v>99077901.616817921</v>
      </c>
      <c r="U389" s="685">
        <f t="shared" si="100"/>
        <v>1364785.5082633197</v>
      </c>
    </row>
    <row r="390" spans="3:21" x14ac:dyDescent="0.35">
      <c r="C390" s="521" t="s">
        <v>573</v>
      </c>
      <c r="D390" s="670"/>
      <c r="E390" s="671"/>
      <c r="F390" s="671"/>
      <c r="G390" s="1224"/>
      <c r="H390" s="529"/>
      <c r="I390" s="529"/>
      <c r="J390" s="529"/>
      <c r="K390" s="529"/>
      <c r="L390" s="529"/>
      <c r="S390" s="31"/>
      <c r="U390" s="684"/>
    </row>
    <row r="391" spans="3:21" x14ac:dyDescent="0.35">
      <c r="C391" s="682" t="s">
        <v>277</v>
      </c>
      <c r="D391" s="555"/>
      <c r="E391" s="555"/>
      <c r="F391" s="555"/>
      <c r="G391" s="1225"/>
      <c r="H391" s="1216"/>
      <c r="I391" s="1216"/>
      <c r="J391" s="1216"/>
      <c r="K391" s="1216"/>
      <c r="L391" s="1216"/>
      <c r="M391" s="1216"/>
      <c r="N391" s="1216"/>
      <c r="O391" s="1216"/>
      <c r="P391" s="1216"/>
      <c r="Q391" s="1216"/>
      <c r="R391" s="1216"/>
      <c r="S391" s="1217"/>
      <c r="U391" s="684"/>
    </row>
    <row r="392" spans="3:21" x14ac:dyDescent="0.35">
      <c r="C392" s="683" t="s">
        <v>482</v>
      </c>
      <c r="D392" s="73"/>
      <c r="E392" s="73"/>
      <c r="F392" s="564" t="s">
        <v>668</v>
      </c>
      <c r="G392" s="1224"/>
      <c r="H392" s="529"/>
      <c r="I392" s="529"/>
      <c r="J392" s="529"/>
      <c r="K392" s="529"/>
      <c r="L392" s="529"/>
      <c r="M392" s="385"/>
      <c r="S392" s="31"/>
      <c r="U392" s="684"/>
    </row>
    <row r="393" spans="3:21" x14ac:dyDescent="0.35">
      <c r="C393" s="74" t="s">
        <v>673</v>
      </c>
      <c r="G393" s="1224"/>
      <c r="H393" s="529"/>
      <c r="I393" s="529"/>
      <c r="J393" s="529"/>
      <c r="K393" s="529"/>
      <c r="L393" s="529"/>
      <c r="M393" s="385">
        <f>M248-M381</f>
        <v>0</v>
      </c>
      <c r="N393" s="385">
        <f t="shared" ref="N393:S393" si="101">N248-N381</f>
        <v>-8858205.7174980044</v>
      </c>
      <c r="O393" s="385">
        <f t="shared" si="101"/>
        <v>-3296876.8722889423</v>
      </c>
      <c r="P393" s="385">
        <f t="shared" si="101"/>
        <v>-36462859.946530163</v>
      </c>
      <c r="Q393" s="385">
        <f t="shared" si="101"/>
        <v>30845552.316488087</v>
      </c>
      <c r="R393" s="385">
        <f t="shared" si="101"/>
        <v>-1909729.4905682802</v>
      </c>
      <c r="S393" s="503">
        <f t="shared" si="101"/>
        <v>2775269.4897961617</v>
      </c>
      <c r="U393" s="684">
        <f>SUM(M393:S393)</f>
        <v>-16906850.220601141</v>
      </c>
    </row>
    <row r="394" spans="3:21" x14ac:dyDescent="0.35">
      <c r="C394" s="99" t="s">
        <v>674</v>
      </c>
      <c r="D394" s="100"/>
      <c r="E394" s="100"/>
      <c r="F394" s="100"/>
      <c r="G394" s="1226"/>
      <c r="H394" s="1212"/>
      <c r="I394" s="1212"/>
      <c r="J394" s="1212"/>
      <c r="K394" s="1212"/>
      <c r="L394" s="1212"/>
      <c r="M394" s="507">
        <f>M249-M382</f>
        <v>0</v>
      </c>
      <c r="N394" s="507">
        <f t="shared" ref="N394:S394" si="102">N249-N382</f>
        <v>6899248.2595384121</v>
      </c>
      <c r="O394" s="507">
        <f t="shared" si="102"/>
        <v>-676342.12746566534</v>
      </c>
      <c r="P394" s="507">
        <f t="shared" si="102"/>
        <v>-15223437.999906629</v>
      </c>
      <c r="Q394" s="507">
        <f t="shared" si="102"/>
        <v>8893907.1317248642</v>
      </c>
      <c r="R394" s="507">
        <f t="shared" si="102"/>
        <v>17882772.321441501</v>
      </c>
      <c r="S394" s="508">
        <f t="shared" si="102"/>
        <v>-11625079.399697572</v>
      </c>
      <c r="U394" s="685">
        <f t="shared" si="100"/>
        <v>6151068.1856349111</v>
      </c>
    </row>
    <row r="395" spans="3:21" ht="17.149999999999999" customHeight="1" x14ac:dyDescent="0.35">
      <c r="U395" s="1247">
        <f>SUM(U387:U394)</f>
        <v>-1355398671.062458</v>
      </c>
    </row>
    <row r="396" spans="3:21" ht="17.149999999999999" customHeight="1" x14ac:dyDescent="0.35">
      <c r="C396" s="15" t="s">
        <v>687</v>
      </c>
      <c r="G396" s="418">
        <v>2011</v>
      </c>
      <c r="H396" s="419">
        <v>2012</v>
      </c>
      <c r="I396" s="419">
        <v>2013</v>
      </c>
      <c r="J396" s="419">
        <v>2014</v>
      </c>
      <c r="K396" s="419">
        <v>2015</v>
      </c>
      <c r="L396" s="419">
        <v>2016</v>
      </c>
      <c r="M396" s="419">
        <v>2017</v>
      </c>
      <c r="N396" s="419">
        <v>2018</v>
      </c>
      <c r="O396" s="419">
        <v>2019</v>
      </c>
      <c r="P396" s="419">
        <v>2020</v>
      </c>
      <c r="Q396" s="419">
        <v>2021</v>
      </c>
      <c r="R396" s="419">
        <v>2022</v>
      </c>
      <c r="S396" s="420">
        <v>2023</v>
      </c>
      <c r="U396" s="385"/>
    </row>
    <row r="397" spans="3:21" ht="17.149999999999999" customHeight="1" x14ac:dyDescent="0.35">
      <c r="C397" t="s">
        <v>688</v>
      </c>
      <c r="G397" s="72"/>
      <c r="H397" s="73"/>
      <c r="I397" s="73"/>
      <c r="J397" s="73"/>
      <c r="K397" s="73"/>
      <c r="L397" s="73"/>
      <c r="M397" s="28">
        <f>(M382+M381+M353+M352+M351+M411)/10^9</f>
        <v>3.6140075927591049</v>
      </c>
      <c r="N397" s="28">
        <f t="shared" ref="N397:S397" si="103">(N382+N381+N353+N352+N351+N411)/10^9</f>
        <v>3.8243093542359325</v>
      </c>
      <c r="O397" s="28">
        <f t="shared" si="103"/>
        <v>3.9165326343577371</v>
      </c>
      <c r="P397" s="28">
        <f t="shared" si="103"/>
        <v>3.7713027634545728</v>
      </c>
      <c r="Q397" s="28">
        <f t="shared" si="103"/>
        <v>4.1155887314222159</v>
      </c>
      <c r="R397" s="28">
        <f t="shared" si="103"/>
        <v>5.1318810452298882</v>
      </c>
      <c r="S397" s="28">
        <f t="shared" si="103"/>
        <v>7.0847264032908503</v>
      </c>
      <c r="T397" s="385">
        <f>SUM(M397:S397)</f>
        <v>31.458348524750303</v>
      </c>
      <c r="U397" s="385"/>
    </row>
    <row r="398" spans="3:21" ht="17.149999999999999" customHeight="1" x14ac:dyDescent="0.35">
      <c r="C398" t="s">
        <v>689</v>
      </c>
      <c r="G398" s="99"/>
      <c r="H398" s="100"/>
      <c r="I398" s="100"/>
      <c r="J398" s="100"/>
      <c r="K398" s="100"/>
      <c r="L398" s="100"/>
      <c r="M398" s="32">
        <f>(M249+M248+M141+M140+M139+M405)/10^9</f>
        <v>3.6140075927591049</v>
      </c>
      <c r="N398" s="32">
        <f t="shared" ref="N398:S398" si="104">(N249+N248+N141+N140+N139+N405)/10^9</f>
        <v>3.7872719162443174</v>
      </c>
      <c r="O398" s="32">
        <f t="shared" si="104"/>
        <v>3.8191951416863512</v>
      </c>
      <c r="P398" s="32">
        <f t="shared" si="104"/>
        <v>3.5924151967452116</v>
      </c>
      <c r="Q398" s="32">
        <f t="shared" si="104"/>
        <v>3.8199378096888097</v>
      </c>
      <c r="R398" s="32">
        <f t="shared" si="104"/>
        <v>4.7698267493322684</v>
      </c>
      <c r="S398" s="32">
        <f t="shared" si="104"/>
        <v>5.7766207959059219</v>
      </c>
      <c r="T398" s="385">
        <f>SUM(M398:S398)</f>
        <v>29.179275202361985</v>
      </c>
      <c r="U398" s="1247">
        <f>T397-T398</f>
        <v>2.2790733223883173</v>
      </c>
    </row>
    <row r="399" spans="3:21" ht="17.149999999999999" customHeight="1" x14ac:dyDescent="0.35">
      <c r="U399" s="385"/>
    </row>
    <row r="400" spans="3:21" ht="17.149999999999999" customHeight="1" x14ac:dyDescent="0.35">
      <c r="U400" s="1247"/>
    </row>
    <row r="401" spans="3:22" ht="17.149999999999999" customHeight="1" x14ac:dyDescent="0.35">
      <c r="C401" s="15" t="s">
        <v>690</v>
      </c>
      <c r="G401" s="418">
        <v>2011</v>
      </c>
      <c r="H401" s="419">
        <v>2012</v>
      </c>
      <c r="I401" s="419">
        <v>2013</v>
      </c>
      <c r="J401" s="419">
        <v>2014</v>
      </c>
      <c r="K401" s="419">
        <v>2015</v>
      </c>
      <c r="L401" s="419">
        <v>2016</v>
      </c>
      <c r="M401" s="419">
        <v>2017</v>
      </c>
      <c r="N401" s="419">
        <v>2018</v>
      </c>
      <c r="O401" s="419">
        <v>2019</v>
      </c>
      <c r="P401" s="419">
        <v>2020</v>
      </c>
      <c r="Q401" s="419">
        <v>2021</v>
      </c>
      <c r="R401" s="419">
        <v>2022</v>
      </c>
      <c r="S401" s="420">
        <v>2023</v>
      </c>
      <c r="U401" s="385"/>
    </row>
    <row r="402" spans="3:22" ht="17.149999999999999" customHeight="1" x14ac:dyDescent="0.35">
      <c r="C402" s="72" t="s">
        <v>691</v>
      </c>
      <c r="D402" s="73"/>
      <c r="E402" s="73"/>
      <c r="F402" s="29"/>
      <c r="G402" s="72"/>
      <c r="H402" s="1253">
        <v>362157612.27888131</v>
      </c>
      <c r="I402" s="1253">
        <v>377799232.95823407</v>
      </c>
      <c r="J402" s="1253">
        <v>402311573.9359495</v>
      </c>
      <c r="K402" s="1254">
        <v>435529186.25542331</v>
      </c>
      <c r="L402" s="1254">
        <v>414217753.18389893</v>
      </c>
      <c r="M402" s="1254">
        <v>405015007.52810997</v>
      </c>
      <c r="N402" s="1254">
        <v>401366460.60793686</v>
      </c>
      <c r="O402" s="1254">
        <v>378987035.61786133</v>
      </c>
      <c r="P402" s="1254">
        <v>389950766.00722522</v>
      </c>
      <c r="Q402" s="1254">
        <v>381287341.78359973</v>
      </c>
      <c r="R402" s="1254">
        <v>413749851.23992187</v>
      </c>
      <c r="S402" s="1255">
        <v>438007432.63606697</v>
      </c>
      <c r="T402" s="1200"/>
      <c r="U402" s="385"/>
    </row>
    <row r="403" spans="3:22" ht="17.149999999999999" customHeight="1" x14ac:dyDescent="0.35">
      <c r="C403" s="74" t="s">
        <v>692</v>
      </c>
      <c r="F403" s="31"/>
      <c r="G403" s="74"/>
      <c r="H403" s="1256">
        <v>48423335.210000001</v>
      </c>
      <c r="I403" s="1256">
        <v>52643210.720000006</v>
      </c>
      <c r="J403" s="1256">
        <v>63819412.750000022</v>
      </c>
      <c r="K403" s="1171">
        <v>73741500.519999996</v>
      </c>
      <c r="L403" s="1171">
        <v>82948193.309999987</v>
      </c>
      <c r="M403" s="1171">
        <v>97316885.079999968</v>
      </c>
      <c r="N403" s="1171">
        <v>98971743.539999977</v>
      </c>
      <c r="O403" s="1171">
        <v>106112430.44000004</v>
      </c>
      <c r="P403" s="1171">
        <v>106818871.34999999</v>
      </c>
      <c r="Q403" s="1171">
        <v>104166672.09</v>
      </c>
      <c r="R403" s="1171">
        <v>127269163.08000001</v>
      </c>
      <c r="S403" s="1202">
        <v>130810741.59999999</v>
      </c>
      <c r="T403" s="1207"/>
      <c r="U403" s="385"/>
    </row>
    <row r="404" spans="3:22" ht="17.149999999999999" customHeight="1" x14ac:dyDescent="0.35">
      <c r="C404" s="74" t="s">
        <v>485</v>
      </c>
      <c r="F404" s="31"/>
      <c r="G404" s="74"/>
      <c r="H404" s="1207">
        <v>11275209.83</v>
      </c>
      <c r="I404" s="1207">
        <v>13540123.929999998</v>
      </c>
      <c r="J404" s="1207">
        <v>17792304.59</v>
      </c>
      <c r="K404" s="1207">
        <v>19380099.349999998</v>
      </c>
      <c r="L404" s="1207">
        <v>22058054.73</v>
      </c>
      <c r="M404" s="1207">
        <v>21406548.91</v>
      </c>
      <c r="N404" s="1159">
        <v>23467720.690000001</v>
      </c>
      <c r="O404" s="1171">
        <v>22784707.850000001</v>
      </c>
      <c r="P404" s="1171">
        <v>20251375.41</v>
      </c>
      <c r="Q404" s="1171">
        <v>20346587.300000001</v>
      </c>
      <c r="R404" s="1171">
        <v>22693889.170000002</v>
      </c>
      <c r="S404" s="1202">
        <v>21767432.010000002</v>
      </c>
      <c r="T404" s="1207"/>
      <c r="U404" s="385"/>
    </row>
    <row r="405" spans="3:22" ht="17.149999999999999" customHeight="1" x14ac:dyDescent="0.35">
      <c r="C405" s="62" t="s">
        <v>277</v>
      </c>
      <c r="D405" s="63"/>
      <c r="E405" s="63"/>
      <c r="F405" s="64"/>
      <c r="G405" s="65"/>
      <c r="H405" s="1259">
        <f>SUM(H402:H404)</f>
        <v>421856157.31888127</v>
      </c>
      <c r="I405" s="1259">
        <f t="shared" ref="I405:S405" si="105">SUM(I402:I404)</f>
        <v>443982567.60823411</v>
      </c>
      <c r="J405" s="1259">
        <f t="shared" si="105"/>
        <v>483923291.27594948</v>
      </c>
      <c r="K405" s="1259">
        <f t="shared" si="105"/>
        <v>528650786.12542331</v>
      </c>
      <c r="L405" s="1259">
        <f t="shared" si="105"/>
        <v>519224001.22389895</v>
      </c>
      <c r="M405" s="1259">
        <f t="shared" si="105"/>
        <v>523738441.51810998</v>
      </c>
      <c r="N405" s="1259">
        <f t="shared" si="105"/>
        <v>523805924.83793682</v>
      </c>
      <c r="O405" s="1259">
        <f t="shared" si="105"/>
        <v>507884173.90786141</v>
      </c>
      <c r="P405" s="1259">
        <f t="shared" si="105"/>
        <v>517021012.76722521</v>
      </c>
      <c r="Q405" s="1259">
        <f t="shared" si="105"/>
        <v>505800601.17359978</v>
      </c>
      <c r="R405" s="1259">
        <f t="shared" si="105"/>
        <v>563712903.48992181</v>
      </c>
      <c r="S405" s="1260">
        <f t="shared" si="105"/>
        <v>590585606.24606693</v>
      </c>
      <c r="U405" s="385"/>
    </row>
    <row r="406" spans="3:22" ht="17.149999999999999" customHeight="1" x14ac:dyDescent="0.35">
      <c r="U406" s="385"/>
    </row>
    <row r="407" spans="3:22" ht="17.149999999999999" customHeight="1" x14ac:dyDescent="0.35">
      <c r="C407" s="15" t="s">
        <v>693</v>
      </c>
      <c r="G407" s="467">
        <v>2011</v>
      </c>
      <c r="H407" s="468">
        <v>2012</v>
      </c>
      <c r="I407" s="468">
        <v>2013</v>
      </c>
      <c r="J407" s="468">
        <v>2014</v>
      </c>
      <c r="K407" s="468">
        <v>2015</v>
      </c>
      <c r="L407" s="468">
        <v>2016</v>
      </c>
      <c r="M407" s="468">
        <v>2017</v>
      </c>
      <c r="N407" s="468">
        <v>2018</v>
      </c>
      <c r="O407" s="468">
        <v>2019</v>
      </c>
      <c r="P407" s="468">
        <v>2020</v>
      </c>
      <c r="Q407" s="468">
        <v>2021</v>
      </c>
      <c r="R407" s="468">
        <v>2022</v>
      </c>
      <c r="S407" s="469">
        <v>2023</v>
      </c>
      <c r="U407" s="385"/>
    </row>
    <row r="408" spans="3:22" ht="17.149999999999999" customHeight="1" x14ac:dyDescent="0.35">
      <c r="C408" s="65" t="s">
        <v>694</v>
      </c>
      <c r="D408" s="63"/>
      <c r="E408" s="63"/>
      <c r="F408" s="64"/>
      <c r="G408" s="63"/>
      <c r="H408" s="1259">
        <f t="shared" ref="H408:S408" si="106">H405/H13</f>
        <v>4472368.4846952697</v>
      </c>
      <c r="I408" s="1259">
        <f t="shared" si="106"/>
        <v>4394779.1893910822</v>
      </c>
      <c r="J408" s="1259">
        <f t="shared" si="106"/>
        <v>4556716.4903573403</v>
      </c>
      <c r="K408" s="1259">
        <f t="shared" si="106"/>
        <v>4805916.237503848</v>
      </c>
      <c r="L408" s="1259">
        <f t="shared" si="106"/>
        <v>5002158.0079373699</v>
      </c>
      <c r="M408" s="1259">
        <f t="shared" si="106"/>
        <v>4866326.9827466663</v>
      </c>
      <c r="N408" s="1259">
        <f t="shared" si="106"/>
        <v>4828817.0070332969</v>
      </c>
      <c r="O408" s="1259">
        <f t="shared" si="106"/>
        <v>4350185.6437504189</v>
      </c>
      <c r="P408" s="1259">
        <f t="shared" si="106"/>
        <v>4398307.2119712904</v>
      </c>
      <c r="Q408" s="1259">
        <f t="shared" si="106"/>
        <v>4192296.7357944446</v>
      </c>
      <c r="R408" s="1259">
        <f t="shared" si="106"/>
        <v>4044576.8860263447</v>
      </c>
      <c r="S408" s="1260">
        <f t="shared" si="106"/>
        <v>2396857.1682064403</v>
      </c>
      <c r="U408" s="385"/>
    </row>
    <row r="409" spans="3:22" ht="17.149999999999999" customHeight="1" x14ac:dyDescent="0.35">
      <c r="U409" s="385"/>
    </row>
    <row r="410" spans="3:22" ht="17.149999999999999" customHeight="1" x14ac:dyDescent="0.35">
      <c r="C410" s="15" t="s">
        <v>695</v>
      </c>
      <c r="G410" s="418">
        <v>2011</v>
      </c>
      <c r="H410" s="419">
        <v>2012</v>
      </c>
      <c r="I410" s="419">
        <v>2013</v>
      </c>
      <c r="J410" s="419">
        <v>2014</v>
      </c>
      <c r="K410" s="419">
        <v>2015</v>
      </c>
      <c r="L410" s="419">
        <v>2016</v>
      </c>
      <c r="M410" s="419">
        <v>2017</v>
      </c>
      <c r="N410" s="419">
        <v>2018</v>
      </c>
      <c r="O410" s="419">
        <v>2019</v>
      </c>
      <c r="P410" s="419">
        <v>2020</v>
      </c>
      <c r="Q410" s="419">
        <v>2021</v>
      </c>
      <c r="R410" s="419">
        <v>2022</v>
      </c>
      <c r="S410" s="420">
        <v>2023</v>
      </c>
    </row>
    <row r="411" spans="3:22" ht="17.149999999999999" customHeight="1" x14ac:dyDescent="0.35">
      <c r="C411" t="s">
        <v>696</v>
      </c>
      <c r="G411" s="72"/>
      <c r="H411" s="73"/>
      <c r="I411" s="73"/>
      <c r="J411" s="73"/>
      <c r="K411" s="73"/>
      <c r="L411" s="73"/>
      <c r="M411" s="1262">
        <f>M405</f>
        <v>523738441.51810998</v>
      </c>
      <c r="N411" s="1262">
        <f t="shared" ref="N411:S411" si="107">$M$408*N13</f>
        <v>527874819.4534446</v>
      </c>
      <c r="O411" s="1262">
        <f t="shared" si="107"/>
        <v>568143675.23567331</v>
      </c>
      <c r="P411" s="1262">
        <f t="shared" si="107"/>
        <v>572036736.82187068</v>
      </c>
      <c r="Q411" s="1262">
        <f t="shared" si="107"/>
        <v>587122350.46838534</v>
      </c>
      <c r="R411" s="1262">
        <f t="shared" si="107"/>
        <v>678244323.22031665</v>
      </c>
      <c r="S411" s="1263">
        <f t="shared" si="107"/>
        <v>1199062968.5487788</v>
      </c>
      <c r="U411" s="385"/>
    </row>
    <row r="412" spans="3:22" ht="17.149999999999999" customHeight="1" x14ac:dyDescent="0.35">
      <c r="C412" t="s">
        <v>697</v>
      </c>
      <c r="G412" s="99"/>
      <c r="H412" s="100"/>
      <c r="I412" s="100"/>
      <c r="J412" s="100"/>
      <c r="K412" s="100"/>
      <c r="L412" s="100"/>
      <c r="M412" s="1257">
        <f>M405-M411</f>
        <v>0</v>
      </c>
      <c r="N412" s="1257">
        <f t="shared" ref="N412:R412" si="108">N405-N411</f>
        <v>-4068894.6155077815</v>
      </c>
      <c r="O412" s="1257">
        <f t="shared" si="108"/>
        <v>-60259501.327811897</v>
      </c>
      <c r="P412" s="1257">
        <f t="shared" si="108"/>
        <v>-55015724.054645479</v>
      </c>
      <c r="Q412" s="1257">
        <f t="shared" si="108"/>
        <v>-81321749.294785559</v>
      </c>
      <c r="R412" s="1257">
        <f t="shared" si="108"/>
        <v>-114531419.73039484</v>
      </c>
      <c r="S412" s="1258">
        <f>S405-S411</f>
        <v>-608477362.30271184</v>
      </c>
      <c r="T412" s="1252">
        <f>SUM(M412:S412)</f>
        <v>-923674651.3258574</v>
      </c>
      <c r="U412" s="385"/>
    </row>
    <row r="413" spans="3:22" ht="17.149999999999999" customHeight="1" x14ac:dyDescent="0.35">
      <c r="U413" s="385"/>
    </row>
    <row r="414" spans="3:22" ht="17.149999999999999" customHeight="1" x14ac:dyDescent="0.35">
      <c r="C414" s="15" t="s">
        <v>698</v>
      </c>
      <c r="U414" s="385"/>
    </row>
    <row r="415" spans="3:22" ht="17.149999999999999" customHeight="1" x14ac:dyDescent="0.35">
      <c r="G415" s="245">
        <v>2017</v>
      </c>
      <c r="H415" s="691" t="s">
        <v>699</v>
      </c>
      <c r="I415" s="692" t="s">
        <v>700</v>
      </c>
      <c r="J415" s="692" t="s">
        <v>701</v>
      </c>
      <c r="K415" s="692" t="s">
        <v>702</v>
      </c>
      <c r="L415" s="245">
        <v>2022</v>
      </c>
      <c r="V415" s="385"/>
    </row>
    <row r="416" spans="3:22" ht="17.149999999999999" customHeight="1" x14ac:dyDescent="0.35">
      <c r="C416" s="65" t="s">
        <v>543</v>
      </c>
      <c r="D416" s="63"/>
      <c r="E416" s="63"/>
      <c r="F416" s="64"/>
      <c r="G416" s="1261">
        <f>M405</f>
        <v>523738441.51810998</v>
      </c>
      <c r="H416" s="1261">
        <f>R405-M405</f>
        <v>39974461.971811831</v>
      </c>
      <c r="I416" s="1259">
        <f>(R13-M13)*M408</f>
        <v>154505881.70220664</v>
      </c>
      <c r="J416" s="1259">
        <f>(R408-M408)*M13</f>
        <v>-88440854.159524605</v>
      </c>
      <c r="K416" s="1260">
        <f>H416-(I416+J416)</f>
        <v>-26090565.570870206</v>
      </c>
      <c r="L416" s="1260">
        <f>R405</f>
        <v>563712903.48992181</v>
      </c>
      <c r="V416" s="385"/>
    </row>
    <row r="417" spans="3:21" ht="17.149999999999999" customHeight="1" x14ac:dyDescent="0.35">
      <c r="U417" s="385"/>
    </row>
    <row r="418" spans="3:21" x14ac:dyDescent="0.35">
      <c r="C418" s="15" t="s">
        <v>703</v>
      </c>
    </row>
    <row r="419" spans="3:21" x14ac:dyDescent="0.35">
      <c r="C419" s="691"/>
      <c r="D419" s="691" t="s">
        <v>704</v>
      </c>
      <c r="E419" s="691" t="s">
        <v>705</v>
      </c>
      <c r="F419" s="692" t="s">
        <v>706</v>
      </c>
      <c r="G419" s="692" t="s">
        <v>707</v>
      </c>
      <c r="H419" s="692" t="s">
        <v>708</v>
      </c>
      <c r="I419" s="692" t="s">
        <v>709</v>
      </c>
      <c r="J419" s="692" t="s">
        <v>710</v>
      </c>
      <c r="K419" s="692" t="s">
        <v>711</v>
      </c>
      <c r="L419" s="692" t="s">
        <v>712</v>
      </c>
      <c r="M419" s="692" t="s">
        <v>707</v>
      </c>
      <c r="N419" s="699" t="s">
        <v>713</v>
      </c>
      <c r="O419" s="692" t="s">
        <v>709</v>
      </c>
      <c r="P419" s="699" t="s">
        <v>714</v>
      </c>
      <c r="Q419" s="692" t="s">
        <v>711</v>
      </c>
    </row>
    <row r="420" spans="3:21" x14ac:dyDescent="0.35">
      <c r="C420" s="237" t="s">
        <v>564</v>
      </c>
      <c r="D420" s="695">
        <f>R139-G139</f>
        <v>724942570.80346251</v>
      </c>
      <c r="E420" s="701">
        <f>S139-M139</f>
        <v>1179783148.1726618</v>
      </c>
      <c r="F420" s="693">
        <f>(R13-G13)*G187</f>
        <v>747225126.29294276</v>
      </c>
      <c r="G420" s="702">
        <f>(S13-M13)*M187</f>
        <v>2056423069.8741684</v>
      </c>
      <c r="H420" s="708">
        <f>(R187-G187)*G13</f>
        <v>-14612560.155971292</v>
      </c>
      <c r="I420" s="703">
        <f>(S187-M187)*M13</f>
        <v>-382907352.16365504</v>
      </c>
      <c r="J420" s="708">
        <f>D420-(F420+H420)</f>
        <v>-7669995.3335089684</v>
      </c>
      <c r="K420" s="703">
        <f>E420-(G420+I420)</f>
        <v>-493732569.53785157</v>
      </c>
      <c r="L420" s="697">
        <f>F420/D420</f>
        <v>1.030736994055659</v>
      </c>
      <c r="M420" s="447">
        <f>G420/E420</f>
        <v>1.7430517405332611</v>
      </c>
      <c r="N420" s="698">
        <f>H420/D420</f>
        <v>-2.0156852065917465E-2</v>
      </c>
      <c r="O420" s="446">
        <f>I420/E420</f>
        <v>-0.32455740087212737</v>
      </c>
      <c r="P420" s="698">
        <f>J420/D420</f>
        <v>-1.0580141989741644E-2</v>
      </c>
      <c r="Q420" s="446">
        <f>K420/E420</f>
        <v>-0.4184943396611337</v>
      </c>
    </row>
    <row r="421" spans="3:21" x14ac:dyDescent="0.35">
      <c r="C421" s="237" t="s">
        <v>228</v>
      </c>
      <c r="D421" s="696">
        <f>R140-G140</f>
        <v>356112140.04380608</v>
      </c>
      <c r="E421" s="1277">
        <f>S140-M140</f>
        <v>579542599.10236049</v>
      </c>
      <c r="F421" s="693">
        <f>(R31-G31)*G188</f>
        <v>567439134.48643291</v>
      </c>
      <c r="G421" s="702">
        <f>(S31-M31)*M188</f>
        <v>1112598044.2396691</v>
      </c>
      <c r="H421" s="693">
        <f>(R188-G188)*G31</f>
        <v>-116662790.20792527</v>
      </c>
      <c r="I421" s="702">
        <f>(S188-M188)*M31</f>
        <v>-220255257.6027174</v>
      </c>
      <c r="J421" s="693">
        <f t="shared" ref="J421:K426" si="109">D421-(F421+H421)</f>
        <v>-94664204.234701574</v>
      </c>
      <c r="K421" s="702">
        <f t="shared" si="109"/>
        <v>-312800187.5345912</v>
      </c>
      <c r="L421" s="697">
        <f t="shared" ref="L421:M426" si="110">F421/D421</f>
        <v>1.593428222965471</v>
      </c>
      <c r="M421" s="447">
        <f t="shared" si="110"/>
        <v>1.91978647637455</v>
      </c>
      <c r="N421" s="697">
        <f t="shared" ref="N421:O426" si="111">H421/D421</f>
        <v>-0.32760127243506598</v>
      </c>
      <c r="O421" s="447">
        <f t="shared" si="111"/>
        <v>-0.38005016015020371</v>
      </c>
      <c r="P421" s="697">
        <f t="shared" ref="P421:Q426" si="112">J421/D421</f>
        <v>-0.26582695053040523</v>
      </c>
      <c r="Q421" s="447">
        <f t="shared" si="112"/>
        <v>-0.53973631622434626</v>
      </c>
    </row>
    <row r="422" spans="3:21" x14ac:dyDescent="0.35">
      <c r="C422" s="237" t="s">
        <v>565</v>
      </c>
      <c r="D422" s="696">
        <f>R141-G141</f>
        <v>76309744.295101345</v>
      </c>
      <c r="E422" s="704">
        <f>S141-M141</f>
        <v>124187699.80764896</v>
      </c>
      <c r="F422" s="693">
        <f>(R44-G44)/G189</f>
        <v>3.2611774179259734E-9</v>
      </c>
      <c r="G422" s="702">
        <f>(S44-M44)*M189</f>
        <v>114228192.26170926</v>
      </c>
      <c r="H422" s="693">
        <f>(R189-G189)*G44</f>
        <v>-13665201.064768178</v>
      </c>
      <c r="I422" s="702">
        <f>(S189-M189)*M44</f>
        <v>2991008.3322683959</v>
      </c>
      <c r="J422" s="693">
        <f>D422-(F422+H422)</f>
        <v>89974945.359869525</v>
      </c>
      <c r="K422" s="702">
        <f>E422-(G422+I422)</f>
        <v>6968499.2136712968</v>
      </c>
      <c r="L422" s="697">
        <f>F422/D422</f>
        <v>4.273605485184836E-17</v>
      </c>
      <c r="M422" s="447">
        <f>G422/E422</f>
        <v>0.91980278593318243</v>
      </c>
      <c r="N422" s="697">
        <f t="shared" si="111"/>
        <v>-0.17907544037787332</v>
      </c>
      <c r="O422" s="447">
        <f t="shared" si="111"/>
        <v>2.4084577916340263E-2</v>
      </c>
      <c r="P422" s="697">
        <f t="shared" si="112"/>
        <v>1.1790754403778734</v>
      </c>
      <c r="Q422" s="447">
        <f t="shared" si="112"/>
        <v>5.6112636150477228E-2</v>
      </c>
    </row>
    <row r="423" spans="3:21" x14ac:dyDescent="0.35">
      <c r="C423" s="237" t="s">
        <v>567</v>
      </c>
      <c r="D423" s="696">
        <f>R142-G142</f>
        <v>89028035.010951519</v>
      </c>
      <c r="E423" s="704">
        <f>R142-M142</f>
        <v>67997656.217462957</v>
      </c>
      <c r="F423" s="693">
        <f>(Q85-G85)*G190</f>
        <v>42864941.90012411</v>
      </c>
      <c r="G423" s="702">
        <f>(Q85-M85)*M190</f>
        <v>23934859.0587231</v>
      </c>
      <c r="H423" s="693" t="e">
        <f>(R190-G190)*G85</f>
        <v>#DIV/0!</v>
      </c>
      <c r="I423" s="109" t="e">
        <f>(R190-M190)*M85</f>
        <v>#DIV/0!</v>
      </c>
      <c r="J423" s="693"/>
      <c r="K423" s="109"/>
      <c r="L423" s="697">
        <f t="shared" si="110"/>
        <v>0.48147689539425653</v>
      </c>
      <c r="M423" s="447">
        <f t="shared" si="110"/>
        <v>0.35199535381303659</v>
      </c>
      <c r="N423" s="697" t="e">
        <f t="shared" si="111"/>
        <v>#DIV/0!</v>
      </c>
      <c r="O423" s="397"/>
      <c r="P423" s="697">
        <f t="shared" si="112"/>
        <v>0</v>
      </c>
      <c r="Q423" s="546"/>
    </row>
    <row r="424" spans="3:21" x14ac:dyDescent="0.35">
      <c r="C424" s="237" t="s">
        <v>572</v>
      </c>
      <c r="D424" s="696"/>
      <c r="E424" s="705"/>
      <c r="F424" s="707"/>
      <c r="G424" s="109"/>
      <c r="H424" s="707"/>
      <c r="I424" s="109"/>
      <c r="J424" s="693"/>
      <c r="K424" s="109"/>
      <c r="L424" s="697" t="e">
        <f t="shared" si="110"/>
        <v>#DIV/0!</v>
      </c>
      <c r="M424" s="108"/>
      <c r="N424" s="697" t="e">
        <f t="shared" si="111"/>
        <v>#DIV/0!</v>
      </c>
      <c r="O424" s="397"/>
      <c r="P424" s="697" t="e">
        <f t="shared" si="112"/>
        <v>#DIV/0!</v>
      </c>
      <c r="Q424" s="546"/>
    </row>
    <row r="425" spans="3:21" x14ac:dyDescent="0.35">
      <c r="C425" s="74" t="s">
        <v>582</v>
      </c>
      <c r="D425" s="693">
        <f>R248-G248</f>
        <v>140661246.34052348</v>
      </c>
      <c r="E425" s="702">
        <f>S248-M248</f>
        <v>162170519.22315574</v>
      </c>
      <c r="F425" s="693">
        <f>(R71-G71)*G313</f>
        <v>174330231.38090402</v>
      </c>
      <c r="G425" s="702">
        <f>(S71-M71)*M313</f>
        <v>189650400.49273068</v>
      </c>
      <c r="H425" s="693">
        <f>(R313-G313)*G71</f>
        <v>-24301389.132606845</v>
      </c>
      <c r="I425" s="702">
        <f>(S313-M313)*M71</f>
        <v>-18871343.624933261</v>
      </c>
      <c r="J425" s="693">
        <f t="shared" si="109"/>
        <v>-9367595.9077737033</v>
      </c>
      <c r="K425" s="702">
        <f t="shared" si="109"/>
        <v>-8608537.6446416676</v>
      </c>
      <c r="L425" s="697">
        <f t="shared" si="110"/>
        <v>1.2393621975940132</v>
      </c>
      <c r="M425" s="447">
        <f t="shared" si="110"/>
        <v>1.1694505351602229</v>
      </c>
      <c r="N425" s="697">
        <f t="shared" si="111"/>
        <v>-0.17276534770477001</v>
      </c>
      <c r="O425" s="447">
        <f t="shared" si="111"/>
        <v>-0.11636728867449227</v>
      </c>
      <c r="P425" s="697">
        <f t="shared" si="112"/>
        <v>-6.6596849889243206E-2</v>
      </c>
      <c r="Q425" s="447">
        <f t="shared" si="112"/>
        <v>-5.308324648573047E-2</v>
      </c>
    </row>
    <row r="426" spans="3:21" x14ac:dyDescent="0.35">
      <c r="C426" s="99" t="s">
        <v>583</v>
      </c>
      <c r="D426" s="694">
        <f>R249-G249</f>
        <v>43439502.546338111</v>
      </c>
      <c r="E426" s="706">
        <f>S249-M249</f>
        <v>50082072.113033369</v>
      </c>
      <c r="F426" s="694">
        <f>(R75-G75)*G314</f>
        <v>29636978.847034246</v>
      </c>
      <c r="G426" s="706">
        <f>(S75-M75)*M314</f>
        <v>45641124.414412759</v>
      </c>
      <c r="H426" s="694">
        <f>(R314-G314)*G75</f>
        <v>11386330.417746417</v>
      </c>
      <c r="I426" s="706">
        <f>(S314-M314)*M75</f>
        <v>3276284.4926760425</v>
      </c>
      <c r="J426" s="694">
        <f t="shared" si="109"/>
        <v>2416193.2815574482</v>
      </c>
      <c r="K426" s="706">
        <f t="shared" si="109"/>
        <v>1164663.2059445679</v>
      </c>
      <c r="L426" s="700">
        <f t="shared" si="110"/>
        <v>0.68225870716221182</v>
      </c>
      <c r="M426" s="448">
        <f t="shared" si="110"/>
        <v>0.91132659829654095</v>
      </c>
      <c r="N426" s="700">
        <f t="shared" si="111"/>
        <v>0.26211926358043131</v>
      </c>
      <c r="O426" s="448">
        <f t="shared" si="111"/>
        <v>6.541830947572598E-2</v>
      </c>
      <c r="P426" s="700">
        <f t="shared" si="112"/>
        <v>5.5622029257356903E-2</v>
      </c>
      <c r="Q426" s="448">
        <f t="shared" si="112"/>
        <v>2.3255092227733039E-2</v>
      </c>
    </row>
    <row r="428" spans="3:21" x14ac:dyDescent="0.35">
      <c r="C428" s="15" t="s">
        <v>715</v>
      </c>
    </row>
    <row r="429" spans="3:21" x14ac:dyDescent="0.35">
      <c r="C429" s="104"/>
      <c r="E429" s="104"/>
      <c r="F429" s="385"/>
    </row>
    <row r="430" spans="3:21" x14ac:dyDescent="0.35">
      <c r="C430" s="104"/>
      <c r="D430" s="691">
        <v>2011</v>
      </c>
      <c r="E430" s="692" t="s">
        <v>706</v>
      </c>
      <c r="F430" s="692" t="s">
        <v>708</v>
      </c>
      <c r="G430" s="692" t="s">
        <v>714</v>
      </c>
      <c r="H430" s="692">
        <v>2023</v>
      </c>
      <c r="K430" s="104"/>
      <c r="L430" s="691">
        <v>2017</v>
      </c>
      <c r="M430" s="692" t="s">
        <v>706</v>
      </c>
      <c r="N430" s="692" t="s">
        <v>708</v>
      </c>
      <c r="O430" s="692" t="s">
        <v>714</v>
      </c>
      <c r="P430" s="692">
        <v>2023</v>
      </c>
    </row>
    <row r="431" spans="3:21" x14ac:dyDescent="0.35">
      <c r="C431" s="794" t="s">
        <v>564</v>
      </c>
      <c r="D431" s="796">
        <f>G139</f>
        <v>1423582627.2678466</v>
      </c>
      <c r="E431" s="505">
        <f>F420</f>
        <v>747225126.29294276</v>
      </c>
      <c r="F431" s="505">
        <f>H420</f>
        <v>-14612560.155971292</v>
      </c>
      <c r="G431" s="505">
        <f>J420</f>
        <v>-7669995.3335089684</v>
      </c>
      <c r="H431" s="797">
        <f>S139</f>
        <v>2774613145.6160583</v>
      </c>
      <c r="K431" s="794" t="s">
        <v>564</v>
      </c>
      <c r="L431" s="796">
        <f>M139</f>
        <v>1594829997.4433966</v>
      </c>
      <c r="M431" s="505">
        <f>G420</f>
        <v>2056423069.8741684</v>
      </c>
      <c r="N431" s="505">
        <f>I420</f>
        <v>-382907352.16365504</v>
      </c>
      <c r="O431" s="505">
        <f>K420</f>
        <v>-493732569.53785157</v>
      </c>
      <c r="P431" s="797">
        <f>S139</f>
        <v>2774613145.6160583</v>
      </c>
    </row>
    <row r="432" spans="3:21" x14ac:dyDescent="0.35">
      <c r="C432" s="795" t="s">
        <v>228</v>
      </c>
      <c r="D432" s="798">
        <f>G140</f>
        <v>699303746.72806525</v>
      </c>
      <c r="E432" s="385">
        <f>F421</f>
        <v>567439134.48643291</v>
      </c>
      <c r="F432" s="385">
        <f>H421</f>
        <v>-116662790.20792527</v>
      </c>
      <c r="G432" s="385">
        <f>J421</f>
        <v>-94664204.234701574</v>
      </c>
      <c r="H432" s="799">
        <f>S140</f>
        <v>1362967861.00438</v>
      </c>
      <c r="K432" s="795" t="s">
        <v>228</v>
      </c>
      <c r="L432" s="798">
        <f>M140</f>
        <v>783425261.9020195</v>
      </c>
      <c r="M432" s="385">
        <f>G421</f>
        <v>1112598044.2396691</v>
      </c>
      <c r="N432" s="385">
        <f>I421</f>
        <v>-220255257.6027174</v>
      </c>
      <c r="O432" s="385">
        <f>K421</f>
        <v>-312800187.5345912</v>
      </c>
      <c r="P432" s="799">
        <f>S140</f>
        <v>1362967861.00438</v>
      </c>
      <c r="Q432" s="378">
        <f>(P432-L432)/L432</f>
        <v>0.73975480149227313</v>
      </c>
    </row>
    <row r="433" spans="3:16" x14ac:dyDescent="0.35">
      <c r="C433" s="94" t="s">
        <v>582</v>
      </c>
      <c r="D433" s="798">
        <f>G248</f>
        <v>452246961.98190451</v>
      </c>
      <c r="E433" s="385">
        <f>F425</f>
        <v>174330231.38090402</v>
      </c>
      <c r="F433" s="385">
        <f>H425</f>
        <v>-24301389.132606845</v>
      </c>
      <c r="G433" s="385">
        <f>J425</f>
        <v>-9367595.9077737033</v>
      </c>
      <c r="H433" s="799">
        <f>S248</f>
        <v>577915681.06631744</v>
      </c>
      <c r="K433" s="94" t="s">
        <v>582</v>
      </c>
      <c r="L433" s="798">
        <f>M248</f>
        <v>415745161.8431617</v>
      </c>
      <c r="M433" s="385">
        <f>G425</f>
        <v>189650400.49273068</v>
      </c>
      <c r="N433" s="385">
        <f>I425</f>
        <v>-18871343.624933261</v>
      </c>
      <c r="O433" s="385">
        <f>K425</f>
        <v>-8608537.6446416676</v>
      </c>
      <c r="P433" s="799">
        <f>S248</f>
        <v>577915681.06631744</v>
      </c>
    </row>
    <row r="434" spans="3:16" x14ac:dyDescent="0.35">
      <c r="C434" s="95" t="s">
        <v>583</v>
      </c>
      <c r="D434" s="800">
        <f>G249</f>
        <v>139664502.96499991</v>
      </c>
      <c r="E434" s="507">
        <f>F426</f>
        <v>29636978.847034246</v>
      </c>
      <c r="F434" s="507">
        <f>H426</f>
        <v>11386330.417746417</v>
      </c>
      <c r="G434" s="507">
        <f>J426</f>
        <v>2416193.2815574482</v>
      </c>
      <c r="H434" s="801">
        <f>S249</f>
        <v>178473960.32930389</v>
      </c>
      <c r="K434" s="95" t="s">
        <v>583</v>
      </c>
      <c r="L434" s="800">
        <f>M249</f>
        <v>128391888.21627052</v>
      </c>
      <c r="M434" s="507">
        <f>G426</f>
        <v>45641124.414412759</v>
      </c>
      <c r="N434" s="507">
        <f>I426</f>
        <v>3276284.4926760425</v>
      </c>
      <c r="O434" s="507">
        <f>K426</f>
        <v>1164663.2059445679</v>
      </c>
      <c r="P434" s="801">
        <f>S249</f>
        <v>178473960.32930389</v>
      </c>
    </row>
    <row r="437" spans="3:16" x14ac:dyDescent="0.35">
      <c r="C437" s="104"/>
      <c r="D437" s="104"/>
      <c r="E437" s="104"/>
      <c r="F437" s="385"/>
    </row>
    <row r="438" spans="3:16" x14ac:dyDescent="0.35">
      <c r="C438" s="104"/>
      <c r="D438" s="104"/>
      <c r="E438" s="104"/>
      <c r="F438" s="385"/>
    </row>
    <row r="439" spans="3:16" x14ac:dyDescent="0.35">
      <c r="C439" s="104"/>
      <c r="D439" s="104"/>
      <c r="E439" s="104"/>
      <c r="F439" s="385"/>
    </row>
    <row r="440" spans="3:16" x14ac:dyDescent="0.35">
      <c r="C440" s="104"/>
      <c r="D440" s="104"/>
      <c r="E440" s="104"/>
      <c r="F440" s="385"/>
    </row>
    <row r="441" spans="3:16" x14ac:dyDescent="0.35">
      <c r="C441" s="104"/>
      <c r="D441" s="104"/>
      <c r="E441" s="104"/>
    </row>
    <row r="442" spans="3:16" x14ac:dyDescent="0.35">
      <c r="F442" s="385"/>
    </row>
    <row r="443" spans="3:16" x14ac:dyDescent="0.35">
      <c r="F443" s="385"/>
    </row>
  </sheetData>
  <hyperlinks>
    <hyperlink ref="C15" r:id="rId1" xr:uid="{E9B0736E-9CBE-4077-A531-B28034D66450}"/>
    <hyperlink ref="C33" r:id="rId2" xr:uid="{2DAAEC55-E6A9-41BD-B377-45D594709A67}"/>
    <hyperlink ref="C49" r:id="rId3" xr:uid="{1FB68D7F-FECC-4708-95A9-D33554E59345}"/>
    <hyperlink ref="C64" r:id="rId4" xr:uid="{F6AB0CB7-5967-4FF3-8F24-07F495B10A3C}"/>
    <hyperlink ref="C60" r:id="rId5" xr:uid="{38C47647-CA2D-4548-BF6E-507432600F00}"/>
    <hyperlink ref="C61" r:id="rId6" xr:uid="{3F879C33-68D1-47F4-AD4D-D667BA73241F}"/>
    <hyperlink ref="C62" r:id="rId7" xr:uid="{299A17F5-6533-443E-A7DF-5475B0AA3573}"/>
    <hyperlink ref="C63" r:id="rId8" xr:uid="{49C6467E-4EC4-4789-A493-AA16C915606E}"/>
    <hyperlink ref="C78" r:id="rId9" location="scroll-nav__5" xr:uid="{2F3A8F17-6D6A-46A1-A737-F76E877B5FA8}"/>
  </hyperlinks>
  <pageMargins left="0.7" right="0.7" top="0.75" bottom="0.75" header="0.3" footer="0.3"/>
  <pageSetup paperSize="9" orientation="portrait" horizontalDpi="300" verticalDpi="300"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80DE5-0D15-4DE6-9DAF-3BDF763B41E7}">
  <sheetPr>
    <tabColor theme="2" tint="-9.9978637043366805E-2"/>
  </sheetPr>
  <dimension ref="A1:AL107"/>
  <sheetViews>
    <sheetView zoomScale="70" zoomScaleNormal="70" workbookViewId="0">
      <pane ySplit="1" topLeftCell="A2" activePane="bottomLeft" state="frozen"/>
      <selection pane="bottomLeft" activeCell="I20" sqref="I20"/>
    </sheetView>
  </sheetViews>
  <sheetFormatPr baseColWidth="10" defaultColWidth="11.453125" defaultRowHeight="14.5" x14ac:dyDescent="0.35"/>
  <sheetData>
    <row r="1" spans="1:38" ht="21" x14ac:dyDescent="0.35">
      <c r="A1" s="103" t="s">
        <v>413</v>
      </c>
      <c r="B1" s="103" t="s">
        <v>414</v>
      </c>
      <c r="C1" s="1" t="s">
        <v>716</v>
      </c>
    </row>
    <row r="3" spans="1:38" x14ac:dyDescent="0.35">
      <c r="C3" s="1274" t="s">
        <v>717</v>
      </c>
    </row>
    <row r="4" spans="1:38" x14ac:dyDescent="0.35">
      <c r="A4" s="144" t="s">
        <v>718</v>
      </c>
      <c r="C4" s="1271">
        <v>1990</v>
      </c>
      <c r="D4" s="1271">
        <v>1991</v>
      </c>
      <c r="E4" s="1271">
        <v>1992</v>
      </c>
      <c r="F4" s="1271">
        <v>1993</v>
      </c>
      <c r="G4" s="1271">
        <v>1994</v>
      </c>
      <c r="H4" s="1271">
        <v>1995</v>
      </c>
      <c r="I4" s="1271">
        <v>1996</v>
      </c>
      <c r="J4" s="1271">
        <v>1997</v>
      </c>
      <c r="K4" s="1271">
        <v>1998</v>
      </c>
      <c r="L4" s="1271">
        <v>1999</v>
      </c>
      <c r="M4" s="1271">
        <v>2000</v>
      </c>
      <c r="N4" s="1271">
        <v>2001</v>
      </c>
      <c r="O4" s="1271">
        <v>2002</v>
      </c>
      <c r="P4" s="1271">
        <v>2003</v>
      </c>
      <c r="Q4" s="1271">
        <v>2004</v>
      </c>
      <c r="R4" s="1271">
        <v>2005</v>
      </c>
      <c r="S4" s="1271">
        <v>2006</v>
      </c>
      <c r="T4" s="1271">
        <v>2007</v>
      </c>
      <c r="U4" s="1271">
        <v>2008</v>
      </c>
      <c r="V4" s="1271">
        <v>2009</v>
      </c>
      <c r="W4" s="1271">
        <v>2010</v>
      </c>
      <c r="X4" s="1271">
        <v>2011</v>
      </c>
      <c r="Y4" s="1271">
        <v>2012</v>
      </c>
      <c r="Z4" s="1271">
        <v>2013</v>
      </c>
      <c r="AA4" s="1271">
        <v>2014</v>
      </c>
      <c r="AB4" s="1271">
        <v>2015</v>
      </c>
      <c r="AC4" s="1271">
        <v>2016</v>
      </c>
      <c r="AD4" s="1271">
        <v>2017</v>
      </c>
      <c r="AE4" s="1271">
        <v>2018</v>
      </c>
      <c r="AF4" s="1271">
        <v>2019</v>
      </c>
      <c r="AG4" s="1271">
        <v>2020</v>
      </c>
      <c r="AH4" s="1271">
        <v>2021</v>
      </c>
      <c r="AI4" s="1271">
        <v>2022</v>
      </c>
      <c r="AJ4" s="1271">
        <v>2023</v>
      </c>
      <c r="AK4" s="1271">
        <v>2024</v>
      </c>
    </row>
    <row r="5" spans="1:38" x14ac:dyDescent="0.35">
      <c r="C5" s="1272">
        <v>1537</v>
      </c>
      <c r="D5" s="1272">
        <v>1537</v>
      </c>
      <c r="E5" s="1272">
        <v>1537</v>
      </c>
      <c r="F5" s="1272">
        <v>1537</v>
      </c>
      <c r="G5" s="1272">
        <v>1537</v>
      </c>
      <c r="H5" s="1272">
        <v>1537</v>
      </c>
      <c r="I5" s="1272">
        <v>1537</v>
      </c>
      <c r="J5" s="1272">
        <v>1537</v>
      </c>
      <c r="K5" s="1272">
        <v>1537</v>
      </c>
      <c r="L5" s="1272">
        <v>1537</v>
      </c>
      <c r="M5" s="1272">
        <v>1537</v>
      </c>
      <c r="N5" s="1272">
        <v>1537</v>
      </c>
      <c r="O5" s="1272">
        <v>1537</v>
      </c>
      <c r="P5" s="1272">
        <v>1537</v>
      </c>
      <c r="Q5" s="1272">
        <v>1537</v>
      </c>
      <c r="R5" s="1272">
        <v>1537</v>
      </c>
      <c r="S5" s="1272">
        <v>1537</v>
      </c>
      <c r="T5" s="1272">
        <v>1537</v>
      </c>
      <c r="U5" s="1272">
        <v>1537</v>
      </c>
      <c r="V5" s="1272">
        <v>1537</v>
      </c>
      <c r="W5" s="1272">
        <v>1537</v>
      </c>
      <c r="X5" s="1272">
        <v>1537</v>
      </c>
      <c r="Y5" s="1272">
        <v>1537</v>
      </c>
      <c r="Z5" s="1272">
        <v>1537</v>
      </c>
      <c r="AA5" s="1272">
        <v>1537</v>
      </c>
      <c r="AB5" s="1272">
        <v>1537</v>
      </c>
      <c r="AC5" s="1272">
        <v>1537</v>
      </c>
      <c r="AD5" s="1272">
        <v>1537</v>
      </c>
      <c r="AE5" s="1272">
        <v>1537</v>
      </c>
      <c r="AF5" s="1272">
        <v>1537</v>
      </c>
      <c r="AG5" s="1272">
        <v>1537</v>
      </c>
      <c r="AH5" s="1272">
        <v>1537</v>
      </c>
      <c r="AI5" s="1272">
        <v>1537</v>
      </c>
      <c r="AJ5" s="1272">
        <v>1537</v>
      </c>
      <c r="AK5" s="1272">
        <v>1537</v>
      </c>
    </row>
    <row r="6" spans="1:38" x14ac:dyDescent="0.35">
      <c r="C6" s="1272">
        <v>1429</v>
      </c>
      <c r="D6" s="1272">
        <v>1804</v>
      </c>
      <c r="E6" s="1272">
        <v>1656</v>
      </c>
      <c r="F6" s="1272">
        <v>1655</v>
      </c>
      <c r="G6" s="1272">
        <v>1377</v>
      </c>
      <c r="H6" s="1272">
        <v>1525</v>
      </c>
      <c r="I6" s="1272">
        <v>1786</v>
      </c>
      <c r="J6" s="1272">
        <v>1507</v>
      </c>
      <c r="K6" s="1272">
        <v>1608</v>
      </c>
      <c r="L6" s="1272">
        <v>1526</v>
      </c>
      <c r="M6" s="1272">
        <v>1433</v>
      </c>
      <c r="N6" s="1272">
        <v>1557</v>
      </c>
      <c r="O6" s="1272">
        <v>1341</v>
      </c>
      <c r="P6" s="1272">
        <v>1613</v>
      </c>
      <c r="Q6" s="1272">
        <v>1648</v>
      </c>
      <c r="R6" s="1272">
        <v>1678</v>
      </c>
      <c r="S6" s="1272">
        <v>1567</v>
      </c>
      <c r="T6" s="1272">
        <v>1416</v>
      </c>
      <c r="U6" s="1272">
        <v>1558</v>
      </c>
      <c r="V6" s="1272">
        <v>1594</v>
      </c>
      <c r="W6" s="1272">
        <v>1907</v>
      </c>
      <c r="X6" s="1272">
        <v>1283</v>
      </c>
      <c r="Y6" s="1272">
        <v>1592</v>
      </c>
      <c r="Z6" s="1272">
        <v>1757</v>
      </c>
      <c r="AA6" s="1272">
        <v>1234</v>
      </c>
      <c r="AB6" s="1272">
        <v>1374</v>
      </c>
      <c r="AC6" s="1272">
        <v>1559</v>
      </c>
      <c r="AD6" s="1272">
        <v>1487</v>
      </c>
      <c r="AE6" s="1272">
        <v>1420</v>
      </c>
      <c r="AF6" s="1272">
        <v>1408</v>
      </c>
      <c r="AG6" s="1272">
        <v>1235</v>
      </c>
      <c r="AH6" s="1272">
        <v>1572</v>
      </c>
      <c r="AI6" s="1272">
        <v>1287</v>
      </c>
      <c r="AJ6" s="1272">
        <v>1284</v>
      </c>
      <c r="AK6" s="1272">
        <v>1250</v>
      </c>
    </row>
    <row r="7" spans="1:38" x14ac:dyDescent="0.35">
      <c r="C7" s="1273">
        <v>0.93</v>
      </c>
      <c r="D7" s="1273">
        <v>1.1739999999999999</v>
      </c>
      <c r="E7" s="1273">
        <v>1.077</v>
      </c>
      <c r="F7" s="1273">
        <v>1.077</v>
      </c>
      <c r="G7" s="1273">
        <v>0.89600000000000002</v>
      </c>
      <c r="H7" s="1273">
        <v>0.99199999999999999</v>
      </c>
      <c r="I7" s="1273">
        <v>1.1619999999999999</v>
      </c>
      <c r="J7" s="1273">
        <v>0.98099999999999998</v>
      </c>
      <c r="K7" s="1273">
        <v>1.0469999999999999</v>
      </c>
      <c r="L7" s="1273">
        <v>0.99299999999999999</v>
      </c>
      <c r="M7" s="1273">
        <v>0.93300000000000005</v>
      </c>
      <c r="N7" s="1273">
        <v>1.0129999999999999</v>
      </c>
      <c r="O7" s="1273">
        <v>0.873</v>
      </c>
      <c r="P7" s="1273">
        <v>1.05</v>
      </c>
      <c r="Q7" s="1273">
        <v>1.073</v>
      </c>
      <c r="R7" s="1273">
        <v>1.0920000000000001</v>
      </c>
      <c r="S7" s="1273">
        <v>1.0189999999999999</v>
      </c>
      <c r="T7" s="1273">
        <v>0.92100000000000004</v>
      </c>
      <c r="U7" s="1273">
        <v>1.014</v>
      </c>
      <c r="V7" s="1273">
        <v>1.038</v>
      </c>
      <c r="W7" s="1273">
        <v>1.2410000000000001</v>
      </c>
      <c r="X7" s="1273">
        <v>0.83499999999999996</v>
      </c>
      <c r="Y7" s="1273">
        <v>1.036</v>
      </c>
      <c r="Z7" s="1273">
        <v>1.143</v>
      </c>
      <c r="AA7" s="1273">
        <v>0.80300000000000005</v>
      </c>
      <c r="AB7" s="1273">
        <v>0.89400000000000002</v>
      </c>
      <c r="AC7" s="1273">
        <v>1.014</v>
      </c>
      <c r="AD7" s="1273">
        <v>0.96799999999999997</v>
      </c>
      <c r="AE7" s="1273">
        <v>0.92400000000000004</v>
      </c>
      <c r="AF7" s="1273">
        <v>0.91600000000000004</v>
      </c>
      <c r="AG7" s="1273">
        <v>0.80400000000000005</v>
      </c>
      <c r="AH7" s="1273">
        <v>1.0229999999999999</v>
      </c>
      <c r="AI7" s="1273">
        <v>0.83699999999999997</v>
      </c>
      <c r="AJ7" s="1273">
        <v>0.83599999999999997</v>
      </c>
      <c r="AK7" s="1273">
        <v>0.81299999999999994</v>
      </c>
    </row>
    <row r="9" spans="1:38" x14ac:dyDescent="0.35">
      <c r="C9" s="1274" t="s">
        <v>719</v>
      </c>
      <c r="D9" s="1275"/>
      <c r="E9" s="1275"/>
      <c r="F9" s="1275"/>
      <c r="G9" s="1275"/>
      <c r="H9" s="1275"/>
      <c r="I9" s="1275"/>
      <c r="J9" s="1275"/>
      <c r="K9" s="1275"/>
      <c r="L9" s="1275"/>
      <c r="M9" s="1275"/>
      <c r="N9" s="1275"/>
      <c r="O9" s="1275"/>
      <c r="P9" s="1275"/>
      <c r="Q9" s="1275"/>
      <c r="R9" s="1275"/>
      <c r="S9" s="1275"/>
      <c r="T9" s="1275"/>
      <c r="U9" s="1275"/>
      <c r="V9" s="1275"/>
      <c r="W9" s="1275"/>
      <c r="X9" s="1275"/>
      <c r="Y9" s="1275"/>
      <c r="Z9" s="1275"/>
      <c r="AA9" s="1275"/>
      <c r="AB9" s="1275"/>
      <c r="AC9" s="1275"/>
      <c r="AD9" s="1275"/>
      <c r="AE9" s="1275"/>
      <c r="AF9" s="1275"/>
      <c r="AG9" s="1275"/>
      <c r="AH9" s="1275"/>
      <c r="AI9" s="1275"/>
      <c r="AJ9" s="1275"/>
      <c r="AK9" s="1275"/>
      <c r="AL9" s="1275"/>
    </row>
    <row r="10" spans="1:38" x14ac:dyDescent="0.35">
      <c r="C10" s="1271" t="s">
        <v>373</v>
      </c>
      <c r="D10" s="1271">
        <v>1990</v>
      </c>
      <c r="E10" s="1271">
        <v>1991</v>
      </c>
      <c r="F10" s="1271">
        <v>1992</v>
      </c>
      <c r="G10" s="1271">
        <v>1993</v>
      </c>
      <c r="H10" s="1271">
        <v>1994</v>
      </c>
      <c r="I10" s="1271">
        <v>1995</v>
      </c>
      <c r="J10" s="1271">
        <v>1996</v>
      </c>
      <c r="K10" s="1271">
        <v>1997</v>
      </c>
      <c r="L10" s="1271">
        <v>1998</v>
      </c>
      <c r="M10" s="1271">
        <v>1999</v>
      </c>
      <c r="N10" s="1271">
        <v>2000</v>
      </c>
      <c r="O10" s="1271">
        <v>2001</v>
      </c>
      <c r="P10" s="1271">
        <v>2002</v>
      </c>
      <c r="Q10" s="1271">
        <v>2003</v>
      </c>
      <c r="R10" s="1271">
        <v>2004</v>
      </c>
      <c r="S10" s="1271">
        <v>2005</v>
      </c>
      <c r="T10" s="1271">
        <v>2006</v>
      </c>
      <c r="U10" s="1271">
        <v>2007</v>
      </c>
      <c r="V10" s="1271">
        <v>2008</v>
      </c>
      <c r="W10" s="1271">
        <v>2009</v>
      </c>
      <c r="X10" s="1271">
        <v>2010</v>
      </c>
      <c r="Y10" s="1271">
        <v>2011</v>
      </c>
      <c r="Z10" s="1271">
        <v>2012</v>
      </c>
      <c r="AA10" s="1271">
        <v>2013</v>
      </c>
      <c r="AB10" s="1271">
        <v>2014</v>
      </c>
      <c r="AC10" s="1271">
        <v>2015</v>
      </c>
      <c r="AD10" s="1271">
        <v>2016</v>
      </c>
      <c r="AE10" s="1271">
        <v>2017</v>
      </c>
      <c r="AF10" s="1271">
        <v>2018</v>
      </c>
      <c r="AG10" s="1271">
        <v>2019</v>
      </c>
      <c r="AH10" s="1271">
        <v>2020</v>
      </c>
      <c r="AI10" s="1271">
        <v>2021</v>
      </c>
      <c r="AJ10" s="1271">
        <v>2022</v>
      </c>
      <c r="AK10" s="1271">
        <v>2023</v>
      </c>
      <c r="AL10" s="1271">
        <v>2024</v>
      </c>
    </row>
    <row r="11" spans="1:38" x14ac:dyDescent="0.35">
      <c r="C11" s="1276" t="s">
        <v>720</v>
      </c>
      <c r="D11" s="1272">
        <v>1978</v>
      </c>
      <c r="E11" s="1272">
        <v>1978</v>
      </c>
      <c r="F11" s="1272">
        <v>1978</v>
      </c>
      <c r="G11" s="1272">
        <v>1978</v>
      </c>
      <c r="H11" s="1272">
        <v>1978</v>
      </c>
      <c r="I11" s="1272">
        <v>1978</v>
      </c>
      <c r="J11" s="1272">
        <v>1978</v>
      </c>
      <c r="K11" s="1272">
        <v>1978</v>
      </c>
      <c r="L11" s="1272">
        <v>1978</v>
      </c>
      <c r="M11" s="1272">
        <v>1978</v>
      </c>
      <c r="N11" s="1272">
        <v>1978</v>
      </c>
      <c r="O11" s="1272">
        <v>1978</v>
      </c>
      <c r="P11" s="1272">
        <v>1978</v>
      </c>
      <c r="Q11" s="1272">
        <v>1978</v>
      </c>
      <c r="R11" s="1272">
        <v>1978</v>
      </c>
      <c r="S11" s="1272">
        <v>1978</v>
      </c>
      <c r="T11" s="1272">
        <v>1978</v>
      </c>
      <c r="U11" s="1272">
        <v>1978</v>
      </c>
      <c r="V11" s="1272">
        <v>1978</v>
      </c>
      <c r="W11" s="1272">
        <v>1978</v>
      </c>
      <c r="X11" s="1272">
        <v>1978</v>
      </c>
      <c r="Y11" s="1272">
        <v>1978</v>
      </c>
      <c r="Z11" s="1272">
        <v>1978</v>
      </c>
      <c r="AA11" s="1272">
        <v>1978</v>
      </c>
      <c r="AB11" s="1272">
        <v>1978</v>
      </c>
      <c r="AC11" s="1272">
        <v>1978</v>
      </c>
      <c r="AD11" s="1272">
        <v>1978</v>
      </c>
      <c r="AE11" s="1272">
        <v>1978</v>
      </c>
      <c r="AF11" s="1272">
        <v>1978</v>
      </c>
      <c r="AG11" s="1272">
        <v>1978</v>
      </c>
      <c r="AH11" s="1272">
        <v>1978</v>
      </c>
      <c r="AI11" s="1272">
        <v>1978</v>
      </c>
      <c r="AJ11" s="1272">
        <v>1978</v>
      </c>
      <c r="AK11" s="1272">
        <v>1978</v>
      </c>
      <c r="AL11" s="1272">
        <v>1978</v>
      </c>
    </row>
    <row r="12" spans="1:38" x14ac:dyDescent="0.35">
      <c r="C12" s="1276" t="s">
        <v>721</v>
      </c>
      <c r="D12" s="1272">
        <v>1851</v>
      </c>
      <c r="E12" s="1272">
        <v>2268</v>
      </c>
      <c r="F12" s="1272">
        <v>2103</v>
      </c>
      <c r="G12" s="1272">
        <v>2104</v>
      </c>
      <c r="H12" s="1272">
        <v>1827</v>
      </c>
      <c r="I12" s="1272">
        <v>1958</v>
      </c>
      <c r="J12" s="1272">
        <v>2248</v>
      </c>
      <c r="K12" s="1272">
        <v>1945</v>
      </c>
      <c r="L12" s="1272">
        <v>2056</v>
      </c>
      <c r="M12" s="1272">
        <v>1966</v>
      </c>
      <c r="N12" s="1272">
        <v>1879</v>
      </c>
      <c r="O12" s="1272">
        <v>1984</v>
      </c>
      <c r="P12" s="1272">
        <v>1797</v>
      </c>
      <c r="Q12" s="1272">
        <v>2054</v>
      </c>
      <c r="R12" s="1272">
        <v>2100</v>
      </c>
      <c r="S12" s="1272">
        <v>2107</v>
      </c>
      <c r="T12" s="1272">
        <v>1994</v>
      </c>
      <c r="U12" s="1272">
        <v>1840</v>
      </c>
      <c r="V12" s="1272">
        <v>1998</v>
      </c>
      <c r="W12" s="1272">
        <v>2034</v>
      </c>
      <c r="X12" s="1272">
        <v>2355</v>
      </c>
      <c r="Y12" s="1272">
        <v>1701</v>
      </c>
      <c r="Z12" s="1272">
        <v>2032</v>
      </c>
      <c r="AA12" s="1272">
        <v>2204</v>
      </c>
      <c r="AB12" s="1272">
        <v>1671</v>
      </c>
      <c r="AC12" s="1272">
        <v>1819</v>
      </c>
      <c r="AD12" s="1272">
        <v>2015</v>
      </c>
      <c r="AE12" s="1272">
        <v>1918</v>
      </c>
      <c r="AF12" s="1272">
        <v>1835</v>
      </c>
      <c r="AG12" s="1272">
        <v>1857</v>
      </c>
      <c r="AH12" s="1272">
        <v>1666</v>
      </c>
      <c r="AI12" s="1272">
        <v>2033</v>
      </c>
      <c r="AJ12" s="1272">
        <v>1693</v>
      </c>
      <c r="AK12" s="1272">
        <v>1709</v>
      </c>
      <c r="AL12" s="1272">
        <v>1683</v>
      </c>
    </row>
    <row r="13" spans="1:38" x14ac:dyDescent="0.35">
      <c r="C13" s="1276" t="s">
        <v>722</v>
      </c>
      <c r="D13" s="1273">
        <v>0.93600000000000005</v>
      </c>
      <c r="E13" s="1273">
        <v>1.1459999999999999</v>
      </c>
      <c r="F13" s="1273">
        <v>1.0629999999999999</v>
      </c>
      <c r="G13" s="1273">
        <v>1.0640000000000001</v>
      </c>
      <c r="H13" s="1273">
        <v>0.92400000000000004</v>
      </c>
      <c r="I13" s="1273">
        <v>0.99</v>
      </c>
      <c r="J13" s="1273">
        <v>1.137</v>
      </c>
      <c r="K13" s="1273">
        <v>0.98299999999999998</v>
      </c>
      <c r="L13" s="1273">
        <v>1.0389999999999999</v>
      </c>
      <c r="M13" s="1273">
        <v>0.99399999999999999</v>
      </c>
      <c r="N13" s="1273">
        <v>0.95</v>
      </c>
      <c r="O13" s="1273">
        <v>1.0029999999999999</v>
      </c>
      <c r="P13" s="1273">
        <v>0.90900000000000003</v>
      </c>
      <c r="Q13" s="1273">
        <v>1.0389999999999999</v>
      </c>
      <c r="R13" s="1273">
        <v>1.0620000000000001</v>
      </c>
      <c r="S13" s="1273">
        <v>1.0649999999999999</v>
      </c>
      <c r="T13" s="1273">
        <v>1.008</v>
      </c>
      <c r="U13" s="1273">
        <v>0.93</v>
      </c>
      <c r="V13" s="1273">
        <v>1.01</v>
      </c>
      <c r="W13" s="1273">
        <v>1.0289999999999999</v>
      </c>
      <c r="X13" s="1273">
        <v>1.1910000000000001</v>
      </c>
      <c r="Y13" s="1273">
        <v>0.86</v>
      </c>
      <c r="Z13" s="1273">
        <v>1.028</v>
      </c>
      <c r="AA13" s="1273">
        <v>1.115</v>
      </c>
      <c r="AB13" s="1273">
        <v>0.84499999999999997</v>
      </c>
      <c r="AC13" s="1273">
        <v>0.92</v>
      </c>
      <c r="AD13" s="1273">
        <v>1.0189999999999999</v>
      </c>
      <c r="AE13" s="1273">
        <v>0.97</v>
      </c>
      <c r="AF13" s="1273">
        <v>0.92800000000000005</v>
      </c>
      <c r="AG13" s="1273">
        <v>0.93899999999999995</v>
      </c>
      <c r="AH13" s="1273">
        <v>0.84199999999999997</v>
      </c>
      <c r="AI13" s="1273">
        <v>1.028</v>
      </c>
      <c r="AJ13" s="1273">
        <v>0.85599999999999998</v>
      </c>
      <c r="AK13" s="1273">
        <v>0.86399999999999999</v>
      </c>
      <c r="AL13" s="1273">
        <v>0.85099999999999998</v>
      </c>
    </row>
    <row r="14" spans="1:38" x14ac:dyDescent="0.35">
      <c r="B14" s="409"/>
      <c r="C14" s="83"/>
      <c r="D14" s="523"/>
      <c r="E14" s="523"/>
      <c r="F14" s="523"/>
      <c r="H14" s="524"/>
    </row>
    <row r="15" spans="1:38" x14ac:dyDescent="0.35">
      <c r="B15" s="409"/>
      <c r="C15" s="83"/>
      <c r="D15" s="523"/>
      <c r="E15" s="523"/>
      <c r="F15" s="523"/>
      <c r="H15" s="524"/>
    </row>
    <row r="16" spans="1:38" x14ac:dyDescent="0.35">
      <c r="B16" s="409"/>
      <c r="C16" s="83"/>
      <c r="D16" s="523"/>
      <c r="E16" s="523"/>
      <c r="F16" s="523"/>
      <c r="H16" s="524"/>
    </row>
    <row r="17" spans="2:8" x14ac:dyDescent="0.35">
      <c r="B17" s="409"/>
      <c r="C17" s="83"/>
      <c r="D17" s="523"/>
      <c r="E17" s="523"/>
      <c r="F17" s="523"/>
      <c r="H17" s="524"/>
    </row>
    <row r="18" spans="2:8" x14ac:dyDescent="0.35">
      <c r="B18" s="409"/>
      <c r="C18" s="83"/>
      <c r="D18" s="523"/>
      <c r="E18" s="523"/>
      <c r="F18" s="523"/>
      <c r="H18" s="524"/>
    </row>
    <row r="19" spans="2:8" x14ac:dyDescent="0.35">
      <c r="B19" s="409"/>
      <c r="C19" s="83"/>
      <c r="D19" s="523"/>
      <c r="E19" s="523"/>
      <c r="F19" s="523"/>
      <c r="H19" s="524"/>
    </row>
    <row r="20" spans="2:8" x14ac:dyDescent="0.35">
      <c r="B20" s="409"/>
      <c r="C20" s="83"/>
      <c r="D20" s="523"/>
      <c r="E20" s="523"/>
      <c r="F20" s="523"/>
      <c r="H20" s="524"/>
    </row>
    <row r="21" spans="2:8" x14ac:dyDescent="0.35">
      <c r="B21" s="409"/>
      <c r="C21" s="83"/>
      <c r="D21" s="523"/>
      <c r="E21" s="523"/>
      <c r="F21" s="523"/>
      <c r="H21" s="524"/>
    </row>
    <row r="22" spans="2:8" x14ac:dyDescent="0.35">
      <c r="B22" s="409"/>
      <c r="C22" s="83"/>
      <c r="D22" s="523"/>
      <c r="E22" s="523"/>
      <c r="F22" s="523"/>
      <c r="H22" s="524"/>
    </row>
    <row r="23" spans="2:8" x14ac:dyDescent="0.35">
      <c r="B23" s="409"/>
      <c r="C23" s="83"/>
      <c r="D23" s="523"/>
      <c r="E23" s="523"/>
      <c r="F23" s="523"/>
      <c r="H23" s="524"/>
    </row>
    <row r="24" spans="2:8" x14ac:dyDescent="0.35">
      <c r="B24" s="409"/>
      <c r="C24" s="83"/>
      <c r="D24" s="523"/>
      <c r="E24" s="523"/>
      <c r="F24" s="523"/>
      <c r="H24" s="524"/>
    </row>
    <row r="25" spans="2:8" x14ac:dyDescent="0.35">
      <c r="B25" s="409"/>
      <c r="C25" s="83"/>
      <c r="D25" s="523"/>
      <c r="E25" s="523"/>
      <c r="F25" s="523"/>
      <c r="H25" s="524"/>
    </row>
    <row r="26" spans="2:8" x14ac:dyDescent="0.35">
      <c r="B26" s="409"/>
      <c r="C26" s="83"/>
      <c r="D26" s="523"/>
      <c r="E26" s="523"/>
      <c r="F26" s="523"/>
      <c r="H26" s="524"/>
    </row>
    <row r="27" spans="2:8" x14ac:dyDescent="0.35">
      <c r="B27" s="409"/>
      <c r="C27" s="83"/>
      <c r="D27" s="523"/>
      <c r="E27" s="523"/>
      <c r="F27" s="523"/>
      <c r="H27" s="524"/>
    </row>
    <row r="28" spans="2:8" x14ac:dyDescent="0.35">
      <c r="B28" s="409"/>
      <c r="C28" s="83"/>
      <c r="D28" s="523"/>
      <c r="E28" s="523"/>
      <c r="F28" s="523"/>
      <c r="H28" s="524"/>
    </row>
    <row r="29" spans="2:8" x14ac:dyDescent="0.35">
      <c r="B29" s="409"/>
      <c r="C29" s="83"/>
      <c r="D29" s="523"/>
      <c r="E29" s="523"/>
      <c r="F29" s="523"/>
      <c r="H29" s="524"/>
    </row>
    <row r="30" spans="2:8" x14ac:dyDescent="0.35">
      <c r="B30" s="409"/>
      <c r="C30" s="83"/>
      <c r="D30" s="523"/>
      <c r="E30" s="523"/>
      <c r="F30" s="523"/>
      <c r="H30" s="524"/>
    </row>
    <row r="31" spans="2:8" x14ac:dyDescent="0.35">
      <c r="B31" s="409"/>
      <c r="C31" s="83"/>
      <c r="D31" s="523"/>
      <c r="E31" s="523"/>
      <c r="F31" s="523"/>
      <c r="H31" s="524"/>
    </row>
    <row r="32" spans="2:8" x14ac:dyDescent="0.35">
      <c r="B32" s="409"/>
      <c r="C32" s="83"/>
      <c r="D32" s="523"/>
      <c r="E32" s="523"/>
      <c r="F32" s="523"/>
      <c r="H32" s="524"/>
    </row>
    <row r="33" spans="2:8" x14ac:dyDescent="0.35">
      <c r="B33" s="409"/>
      <c r="C33" s="83"/>
      <c r="D33" s="523"/>
      <c r="E33" s="523"/>
      <c r="F33" s="523"/>
      <c r="H33" s="524"/>
    </row>
    <row r="34" spans="2:8" x14ac:dyDescent="0.35">
      <c r="B34" s="409"/>
      <c r="C34" s="83"/>
      <c r="D34" s="523"/>
      <c r="E34" s="523"/>
      <c r="F34" s="523"/>
      <c r="H34" s="524"/>
    </row>
    <row r="35" spans="2:8" x14ac:dyDescent="0.35">
      <c r="B35" s="409"/>
      <c r="C35" s="83"/>
      <c r="D35" s="523"/>
      <c r="E35" s="523"/>
      <c r="F35" s="523"/>
      <c r="H35" s="524"/>
    </row>
    <row r="36" spans="2:8" x14ac:dyDescent="0.35">
      <c r="B36" s="409"/>
      <c r="C36" s="83"/>
      <c r="D36" s="523"/>
      <c r="E36" s="523"/>
      <c r="F36" s="523"/>
      <c r="H36" s="524"/>
    </row>
    <row r="37" spans="2:8" x14ac:dyDescent="0.35">
      <c r="B37" s="409"/>
      <c r="C37" s="83"/>
      <c r="D37" s="523"/>
      <c r="E37" s="523"/>
      <c r="F37" s="523"/>
      <c r="H37" s="524"/>
    </row>
    <row r="38" spans="2:8" x14ac:dyDescent="0.35">
      <c r="B38" s="409"/>
      <c r="C38" s="83"/>
      <c r="D38" s="523"/>
      <c r="E38" s="523"/>
      <c r="F38" s="523"/>
      <c r="H38" s="524"/>
    </row>
    <row r="39" spans="2:8" x14ac:dyDescent="0.35">
      <c r="B39" s="409"/>
      <c r="C39" s="83"/>
      <c r="D39" s="523"/>
      <c r="E39" s="523"/>
      <c r="F39" s="523"/>
      <c r="H39" s="524"/>
    </row>
    <row r="40" spans="2:8" x14ac:dyDescent="0.35">
      <c r="B40" s="409"/>
      <c r="C40" s="83"/>
      <c r="D40" s="523"/>
      <c r="E40" s="523"/>
      <c r="F40" s="523"/>
      <c r="H40" s="524"/>
    </row>
    <row r="41" spans="2:8" x14ac:dyDescent="0.35">
      <c r="B41" s="409"/>
      <c r="C41" s="83"/>
      <c r="D41" s="523"/>
      <c r="E41" s="523"/>
      <c r="F41" s="523"/>
      <c r="H41" s="524"/>
    </row>
    <row r="42" spans="2:8" x14ac:dyDescent="0.35">
      <c r="B42" s="409"/>
      <c r="C42" s="83"/>
      <c r="D42" s="523"/>
      <c r="E42" s="523"/>
      <c r="F42" s="523"/>
      <c r="H42" s="524"/>
    </row>
    <row r="43" spans="2:8" x14ac:dyDescent="0.35">
      <c r="B43" s="409"/>
      <c r="C43" s="83"/>
      <c r="D43" s="523"/>
      <c r="E43" s="523"/>
      <c r="F43" s="523"/>
      <c r="H43" s="524"/>
    </row>
    <row r="44" spans="2:8" x14ac:dyDescent="0.35">
      <c r="B44" s="409"/>
      <c r="C44" s="83"/>
    </row>
    <row r="45" spans="2:8" x14ac:dyDescent="0.35">
      <c r="C45" s="83"/>
    </row>
    <row r="46" spans="2:8" x14ac:dyDescent="0.35">
      <c r="B46" s="409"/>
      <c r="C46" s="83"/>
      <c r="D46" s="523"/>
      <c r="E46" s="523"/>
      <c r="F46" s="523"/>
    </row>
    <row r="47" spans="2:8" x14ac:dyDescent="0.35">
      <c r="B47" s="409"/>
      <c r="C47" s="83"/>
      <c r="D47" s="523"/>
      <c r="E47" s="523"/>
      <c r="F47" s="523"/>
    </row>
    <row r="48" spans="2:8" x14ac:dyDescent="0.35">
      <c r="B48" s="409"/>
      <c r="C48" s="83"/>
      <c r="D48" s="523"/>
      <c r="E48" s="523"/>
      <c r="F48" s="523"/>
    </row>
    <row r="49" spans="2:6" x14ac:dyDescent="0.35">
      <c r="B49" s="409"/>
      <c r="C49" s="83"/>
      <c r="D49" s="523"/>
      <c r="E49" s="523"/>
      <c r="F49" s="523"/>
    </row>
    <row r="50" spans="2:6" x14ac:dyDescent="0.35">
      <c r="B50" s="409"/>
      <c r="C50" s="83"/>
      <c r="D50" s="523"/>
      <c r="E50" s="523"/>
      <c r="F50" s="523"/>
    </row>
    <row r="51" spans="2:6" x14ac:dyDescent="0.35">
      <c r="B51" s="409"/>
      <c r="C51" s="83"/>
      <c r="D51" s="523"/>
      <c r="E51" s="523"/>
      <c r="F51" s="523"/>
    </row>
    <row r="52" spans="2:6" x14ac:dyDescent="0.35">
      <c r="B52" s="409"/>
      <c r="C52" s="83"/>
      <c r="D52" s="523"/>
      <c r="E52" s="523"/>
      <c r="F52" s="523"/>
    </row>
    <row r="53" spans="2:6" x14ac:dyDescent="0.35">
      <c r="B53" s="409"/>
      <c r="C53" s="83"/>
      <c r="D53" s="523"/>
      <c r="E53" s="523"/>
      <c r="F53" s="523"/>
    </row>
    <row r="54" spans="2:6" x14ac:dyDescent="0.35">
      <c r="B54" s="409"/>
      <c r="C54" s="83"/>
      <c r="D54" s="523"/>
      <c r="E54" s="523"/>
      <c r="F54" s="523"/>
    </row>
    <row r="55" spans="2:6" x14ac:dyDescent="0.35">
      <c r="B55" s="409"/>
      <c r="C55" s="83"/>
      <c r="D55" s="523"/>
      <c r="E55" s="523"/>
      <c r="F55" s="523"/>
    </row>
    <row r="56" spans="2:6" x14ac:dyDescent="0.35">
      <c r="B56" s="409"/>
      <c r="C56" s="83"/>
      <c r="D56" s="523"/>
      <c r="E56" s="523"/>
      <c r="F56" s="523"/>
    </row>
    <row r="57" spans="2:6" x14ac:dyDescent="0.35">
      <c r="B57" s="409"/>
      <c r="C57" s="83"/>
      <c r="D57" s="523"/>
      <c r="E57" s="523"/>
      <c r="F57" s="523"/>
    </row>
    <row r="58" spans="2:6" x14ac:dyDescent="0.35">
      <c r="B58" s="409"/>
      <c r="C58" s="83"/>
      <c r="D58" s="523"/>
      <c r="E58" s="523"/>
      <c r="F58" s="523"/>
    </row>
    <row r="59" spans="2:6" x14ac:dyDescent="0.35">
      <c r="B59" s="409"/>
      <c r="C59" s="83"/>
      <c r="D59" s="523"/>
      <c r="E59" s="523"/>
      <c r="F59" s="523"/>
    </row>
    <row r="60" spans="2:6" x14ac:dyDescent="0.35">
      <c r="B60" s="409"/>
      <c r="C60" s="83"/>
      <c r="D60" s="523"/>
      <c r="E60" s="523"/>
      <c r="F60" s="523"/>
    </row>
    <row r="61" spans="2:6" x14ac:dyDescent="0.35">
      <c r="B61" s="409"/>
      <c r="C61" s="83"/>
      <c r="D61" s="523"/>
      <c r="E61" s="523"/>
      <c r="F61" s="523"/>
    </row>
    <row r="62" spans="2:6" x14ac:dyDescent="0.35">
      <c r="B62" s="409"/>
      <c r="C62" s="83"/>
      <c r="D62" s="523"/>
      <c r="E62" s="523"/>
      <c r="F62" s="523"/>
    </row>
    <row r="63" spans="2:6" x14ac:dyDescent="0.35">
      <c r="B63" s="409"/>
      <c r="C63" s="83"/>
      <c r="D63" s="523"/>
      <c r="E63" s="523"/>
      <c r="F63" s="523"/>
    </row>
    <row r="64" spans="2:6" x14ac:dyDescent="0.35">
      <c r="B64" s="409"/>
      <c r="C64" s="83"/>
      <c r="D64" s="523"/>
      <c r="E64" s="523"/>
      <c r="F64" s="523"/>
    </row>
    <row r="65" spans="2:6" x14ac:dyDescent="0.35">
      <c r="B65" s="409"/>
      <c r="C65" s="83"/>
      <c r="D65" s="523"/>
      <c r="E65" s="523"/>
      <c r="F65" s="523"/>
    </row>
    <row r="66" spans="2:6" x14ac:dyDescent="0.35">
      <c r="B66" s="409"/>
      <c r="C66" s="83"/>
      <c r="D66" s="523"/>
      <c r="E66" s="523"/>
      <c r="F66" s="523"/>
    </row>
    <row r="67" spans="2:6" x14ac:dyDescent="0.35">
      <c r="B67" s="409"/>
      <c r="C67" s="83"/>
      <c r="D67" s="523"/>
      <c r="E67" s="523"/>
      <c r="F67" s="523"/>
    </row>
    <row r="68" spans="2:6" x14ac:dyDescent="0.35">
      <c r="B68" s="409"/>
      <c r="C68" s="83"/>
      <c r="D68" s="523"/>
      <c r="E68" s="523"/>
      <c r="F68" s="523"/>
    </row>
    <row r="69" spans="2:6" x14ac:dyDescent="0.35">
      <c r="B69" s="409"/>
      <c r="C69" s="83"/>
      <c r="D69" s="523"/>
      <c r="E69" s="523"/>
      <c r="F69" s="523"/>
    </row>
    <row r="70" spans="2:6" x14ac:dyDescent="0.35">
      <c r="B70" s="409"/>
      <c r="C70" s="83"/>
      <c r="D70" s="523"/>
      <c r="E70" s="523"/>
      <c r="F70" s="523"/>
    </row>
    <row r="71" spans="2:6" x14ac:dyDescent="0.35">
      <c r="B71" s="409"/>
      <c r="C71" s="83"/>
      <c r="D71" s="523"/>
      <c r="E71" s="523"/>
      <c r="F71" s="523"/>
    </row>
    <row r="72" spans="2:6" x14ac:dyDescent="0.35">
      <c r="B72" s="409"/>
      <c r="C72" s="83"/>
      <c r="D72" s="523"/>
      <c r="E72" s="523"/>
      <c r="F72" s="523"/>
    </row>
    <row r="73" spans="2:6" x14ac:dyDescent="0.35">
      <c r="B73" s="409"/>
      <c r="C73" s="83"/>
      <c r="D73" s="523"/>
      <c r="E73" s="523"/>
      <c r="F73" s="523"/>
    </row>
    <row r="74" spans="2:6" x14ac:dyDescent="0.35">
      <c r="B74" s="409"/>
      <c r="C74" s="83"/>
      <c r="D74" s="523"/>
      <c r="E74" s="523"/>
      <c r="F74" s="523"/>
    </row>
    <row r="75" spans="2:6" x14ac:dyDescent="0.35">
      <c r="B75" s="409"/>
      <c r="C75" s="83"/>
      <c r="D75" s="523"/>
      <c r="E75" s="523"/>
      <c r="F75" s="523"/>
    </row>
    <row r="76" spans="2:6" x14ac:dyDescent="0.35">
      <c r="C76" s="83"/>
    </row>
    <row r="77" spans="2:6" x14ac:dyDescent="0.35">
      <c r="C77" s="83"/>
    </row>
    <row r="78" spans="2:6" x14ac:dyDescent="0.35">
      <c r="B78" s="409"/>
      <c r="C78" s="83"/>
      <c r="D78" s="523"/>
      <c r="E78" s="523"/>
      <c r="F78" s="523"/>
    </row>
    <row r="79" spans="2:6" x14ac:dyDescent="0.35">
      <c r="B79" s="409"/>
      <c r="C79" s="83"/>
      <c r="D79" s="523"/>
      <c r="E79" s="523"/>
      <c r="F79" s="523"/>
    </row>
    <row r="80" spans="2:6" x14ac:dyDescent="0.35">
      <c r="B80" s="409"/>
      <c r="C80" s="83"/>
      <c r="D80" s="523"/>
      <c r="E80" s="523"/>
      <c r="F80" s="523"/>
    </row>
    <row r="81" spans="2:6" x14ac:dyDescent="0.35">
      <c r="B81" s="409"/>
      <c r="C81" s="83"/>
      <c r="D81" s="523"/>
      <c r="E81" s="523"/>
      <c r="F81" s="523"/>
    </row>
    <row r="82" spans="2:6" x14ac:dyDescent="0.35">
      <c r="B82" s="409"/>
      <c r="C82" s="83"/>
      <c r="D82" s="523"/>
      <c r="E82" s="523"/>
      <c r="F82" s="523"/>
    </row>
    <row r="83" spans="2:6" x14ac:dyDescent="0.35">
      <c r="B83" s="409"/>
      <c r="C83" s="83"/>
      <c r="D83" s="523"/>
      <c r="E83" s="523"/>
      <c r="F83" s="523"/>
    </row>
    <row r="84" spans="2:6" x14ac:dyDescent="0.35">
      <c r="B84" s="409"/>
      <c r="C84" s="83"/>
      <c r="D84" s="523"/>
      <c r="E84" s="523"/>
      <c r="F84" s="523"/>
    </row>
    <row r="85" spans="2:6" x14ac:dyDescent="0.35">
      <c r="B85" s="409"/>
      <c r="C85" s="83"/>
      <c r="D85" s="523"/>
      <c r="E85" s="523"/>
      <c r="F85" s="523"/>
    </row>
    <row r="86" spans="2:6" x14ac:dyDescent="0.35">
      <c r="B86" s="409"/>
      <c r="C86" s="83"/>
      <c r="D86" s="523"/>
      <c r="E86" s="523"/>
      <c r="F86" s="523"/>
    </row>
    <row r="87" spans="2:6" x14ac:dyDescent="0.35">
      <c r="B87" s="409"/>
      <c r="C87" s="83"/>
      <c r="D87" s="523"/>
      <c r="E87" s="523"/>
      <c r="F87" s="523"/>
    </row>
    <row r="88" spans="2:6" x14ac:dyDescent="0.35">
      <c r="B88" s="409"/>
      <c r="C88" s="83"/>
      <c r="D88" s="523"/>
      <c r="E88" s="523"/>
      <c r="F88" s="523"/>
    </row>
    <row r="89" spans="2:6" x14ac:dyDescent="0.35">
      <c r="B89" s="409"/>
      <c r="C89" s="83"/>
      <c r="D89" s="523"/>
      <c r="E89" s="523"/>
      <c r="F89" s="523"/>
    </row>
    <row r="90" spans="2:6" x14ac:dyDescent="0.35">
      <c r="B90" s="409"/>
      <c r="C90" s="83"/>
      <c r="D90" s="523"/>
      <c r="E90" s="523"/>
      <c r="F90" s="523"/>
    </row>
    <row r="91" spans="2:6" x14ac:dyDescent="0.35">
      <c r="B91" s="409"/>
      <c r="C91" s="83"/>
      <c r="D91" s="523"/>
      <c r="E91" s="523"/>
      <c r="F91" s="523"/>
    </row>
    <row r="92" spans="2:6" x14ac:dyDescent="0.35">
      <c r="B92" s="409"/>
      <c r="C92" s="83"/>
      <c r="D92" s="523"/>
      <c r="E92" s="523"/>
      <c r="F92" s="523"/>
    </row>
    <row r="93" spans="2:6" x14ac:dyDescent="0.35">
      <c r="B93" s="409"/>
      <c r="C93" s="83"/>
      <c r="D93" s="523"/>
      <c r="E93" s="523"/>
      <c r="F93" s="523"/>
    </row>
    <row r="94" spans="2:6" x14ac:dyDescent="0.35">
      <c r="B94" s="409"/>
      <c r="C94" s="83"/>
      <c r="D94" s="523"/>
      <c r="E94" s="523"/>
      <c r="F94" s="523"/>
    </row>
    <row r="95" spans="2:6" x14ac:dyDescent="0.35">
      <c r="B95" s="409"/>
      <c r="C95" s="83"/>
      <c r="D95" s="523"/>
      <c r="E95" s="523"/>
      <c r="F95" s="523"/>
    </row>
    <row r="96" spans="2:6" x14ac:dyDescent="0.35">
      <c r="B96" s="409"/>
      <c r="C96" s="83"/>
      <c r="D96" s="523"/>
      <c r="E96" s="523"/>
      <c r="F96" s="523"/>
    </row>
    <row r="97" spans="2:6" x14ac:dyDescent="0.35">
      <c r="B97" s="409"/>
      <c r="C97" s="83"/>
      <c r="D97" s="523"/>
      <c r="E97" s="523"/>
      <c r="F97" s="523"/>
    </row>
    <row r="98" spans="2:6" x14ac:dyDescent="0.35">
      <c r="B98" s="409"/>
      <c r="C98" s="83"/>
      <c r="D98" s="523"/>
      <c r="E98" s="523"/>
      <c r="F98" s="523"/>
    </row>
    <row r="99" spans="2:6" x14ac:dyDescent="0.35">
      <c r="B99" s="409"/>
      <c r="C99" s="83"/>
      <c r="D99" s="523"/>
      <c r="E99" s="523"/>
      <c r="F99" s="523"/>
    </row>
    <row r="100" spans="2:6" x14ac:dyDescent="0.35">
      <c r="B100" s="409"/>
      <c r="C100" s="83"/>
      <c r="D100" s="523"/>
      <c r="E100" s="523"/>
      <c r="F100" s="523"/>
    </row>
    <row r="101" spans="2:6" x14ac:dyDescent="0.35">
      <c r="B101" s="409"/>
      <c r="C101" s="83"/>
      <c r="D101" s="523"/>
      <c r="E101" s="523"/>
      <c r="F101" s="523"/>
    </row>
    <row r="102" spans="2:6" x14ac:dyDescent="0.35">
      <c r="B102" s="409"/>
      <c r="C102" s="83"/>
      <c r="D102" s="523"/>
      <c r="E102" s="523"/>
      <c r="F102" s="523"/>
    </row>
    <row r="103" spans="2:6" x14ac:dyDescent="0.35">
      <c r="B103" s="409"/>
      <c r="C103" s="83"/>
      <c r="D103" s="523"/>
      <c r="E103" s="523"/>
      <c r="F103" s="523"/>
    </row>
    <row r="104" spans="2:6" x14ac:dyDescent="0.35">
      <c r="B104" s="409"/>
      <c r="C104" s="83"/>
      <c r="D104" s="523"/>
      <c r="E104" s="523"/>
      <c r="F104" s="523"/>
    </row>
    <row r="105" spans="2:6" x14ac:dyDescent="0.35">
      <c r="B105" s="409"/>
      <c r="C105" s="83"/>
      <c r="D105" s="523"/>
      <c r="E105" s="523"/>
      <c r="F105" s="523"/>
    </row>
    <row r="106" spans="2:6" x14ac:dyDescent="0.35">
      <c r="B106" s="409"/>
      <c r="C106" s="83"/>
      <c r="D106" s="523"/>
      <c r="E106" s="523"/>
      <c r="F106" s="523"/>
    </row>
    <row r="107" spans="2:6" x14ac:dyDescent="0.35">
      <c r="B107" s="409"/>
      <c r="C107" s="83"/>
      <c r="D107" s="523"/>
      <c r="E107" s="523"/>
      <c r="F107" s="523"/>
    </row>
  </sheetData>
  <hyperlinks>
    <hyperlink ref="A4" r:id="rId1" display="https://view.officeapps.live.com/op/view.aspx?src=https%3A%2F%2Fwww.statistiques.developpement-durable.gouv.fr%2Fmedia%2F205%2Fdownload%3Finline&amp;wdOrigin=BROWSELINK" xr:uid="{70A3BE43-2CFD-4AEB-B1DE-09F70B315B2F}"/>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8BFCD-2FC3-4636-87C0-1E3CA0844EE7}">
  <dimension ref="A1:U117"/>
  <sheetViews>
    <sheetView showGridLines="0" zoomScale="40" zoomScaleNormal="40" workbookViewId="0">
      <pane ySplit="1" topLeftCell="A62" activePane="bottomLeft" state="frozen"/>
      <selection pane="bottomLeft" activeCell="D121" sqref="D121"/>
    </sheetView>
  </sheetViews>
  <sheetFormatPr baseColWidth="10" defaultColWidth="11.453125" defaultRowHeight="14.5" x14ac:dyDescent="0.35"/>
  <cols>
    <col min="1" max="1" width="23.54296875" customWidth="1"/>
    <col min="2" max="2" width="15.453125" customWidth="1"/>
    <col min="3" max="3" width="13.1796875" customWidth="1"/>
    <col min="4" max="4" width="38.81640625" customWidth="1"/>
    <col min="8" max="9" width="20.453125" bestFit="1" customWidth="1"/>
    <col min="10" max="10" width="20" bestFit="1" customWidth="1"/>
    <col min="11" max="13" width="20.7265625" bestFit="1" customWidth="1"/>
    <col min="14" max="15" width="20.453125" bestFit="1" customWidth="1"/>
    <col min="16" max="16" width="20" bestFit="1" customWidth="1"/>
    <col min="17" max="17" width="20.7265625" bestFit="1" customWidth="1"/>
    <col min="18" max="18" width="20.453125" bestFit="1" customWidth="1"/>
    <col min="19" max="20" width="21.1796875" bestFit="1" customWidth="1"/>
    <col min="21" max="21" width="18.26953125" customWidth="1"/>
  </cols>
  <sheetData>
    <row r="1" spans="1:20" ht="21" x14ac:dyDescent="0.35">
      <c r="A1" s="103" t="s">
        <v>413</v>
      </c>
      <c r="B1" s="103" t="s">
        <v>414</v>
      </c>
      <c r="C1" s="1" t="s">
        <v>723</v>
      </c>
      <c r="G1" s="2"/>
      <c r="H1" s="175">
        <v>2011</v>
      </c>
      <c r="I1" s="176">
        <v>2012</v>
      </c>
      <c r="J1" s="176">
        <v>2013</v>
      </c>
      <c r="K1" s="176">
        <v>2014</v>
      </c>
      <c r="L1" s="176">
        <v>2015</v>
      </c>
      <c r="M1" s="176">
        <v>2016</v>
      </c>
      <c r="N1" s="176">
        <v>2017</v>
      </c>
      <c r="O1" s="176">
        <v>2018</v>
      </c>
      <c r="P1" s="176">
        <v>2019</v>
      </c>
      <c r="Q1" s="176">
        <v>2020</v>
      </c>
      <c r="R1" s="176">
        <v>2021</v>
      </c>
      <c r="S1" s="176">
        <v>2022</v>
      </c>
      <c r="T1" s="177">
        <v>2023</v>
      </c>
    </row>
    <row r="2" spans="1:20" x14ac:dyDescent="0.35">
      <c r="N2" s="6"/>
      <c r="O2" s="6"/>
      <c r="P2" s="6"/>
      <c r="Q2" s="6"/>
      <c r="R2" s="6"/>
      <c r="S2" s="6"/>
      <c r="T2" s="6"/>
    </row>
    <row r="3" spans="1:20" x14ac:dyDescent="0.35">
      <c r="C3" s="7" t="s">
        <v>416</v>
      </c>
    </row>
    <row r="4" spans="1:20" x14ac:dyDescent="0.35">
      <c r="C4" s="104" t="s">
        <v>724</v>
      </c>
    </row>
    <row r="6" spans="1:20" x14ac:dyDescent="0.35">
      <c r="C6" s="7" t="s">
        <v>418</v>
      </c>
    </row>
    <row r="34" spans="1:20" x14ac:dyDescent="0.35">
      <c r="C34" t="s">
        <v>725</v>
      </c>
    </row>
    <row r="35" spans="1:20" x14ac:dyDescent="0.35">
      <c r="C35" t="s">
        <v>726</v>
      </c>
    </row>
    <row r="37" spans="1:20" s="8" customFormat="1" ht="21" x14ac:dyDescent="0.5">
      <c r="C37" s="9" t="s">
        <v>727</v>
      </c>
      <c r="P37" s="10"/>
    </row>
    <row r="39" spans="1:20" x14ac:dyDescent="0.35">
      <c r="C39" s="7" t="s">
        <v>422</v>
      </c>
    </row>
    <row r="40" spans="1:20" x14ac:dyDescent="0.35">
      <c r="C40" t="s">
        <v>728</v>
      </c>
    </row>
    <row r="41" spans="1:20" x14ac:dyDescent="0.35">
      <c r="A41" t="s">
        <v>729</v>
      </c>
      <c r="B41" s="102">
        <v>45645</v>
      </c>
      <c r="C41" t="s">
        <v>730</v>
      </c>
    </row>
    <row r="44" spans="1:20" x14ac:dyDescent="0.35">
      <c r="C44" s="7" t="s">
        <v>427</v>
      </c>
    </row>
    <row r="45" spans="1:20" ht="17.149999999999999" customHeight="1" x14ac:dyDescent="0.35">
      <c r="C45" s="15" t="s">
        <v>731</v>
      </c>
      <c r="H45" s="11" t="s">
        <v>430</v>
      </c>
      <c r="N45" s="83"/>
    </row>
    <row r="46" spans="1:20" ht="17.149999999999999" customHeight="1" x14ac:dyDescent="0.35">
      <c r="A46" t="s">
        <v>732</v>
      </c>
      <c r="B46" s="102">
        <v>45678</v>
      </c>
      <c r="C46" s="130"/>
      <c r="D46" s="17"/>
      <c r="E46" s="17" t="s">
        <v>668</v>
      </c>
      <c r="F46" s="23"/>
      <c r="H46" s="181">
        <v>2011</v>
      </c>
      <c r="I46" s="182">
        <v>2012</v>
      </c>
      <c r="J46" s="182">
        <v>2013</v>
      </c>
      <c r="K46" s="182">
        <v>2014</v>
      </c>
      <c r="L46" s="182">
        <v>2015</v>
      </c>
      <c r="M46" s="182">
        <v>2016</v>
      </c>
      <c r="N46" s="45">
        <v>2017</v>
      </c>
      <c r="O46" s="45">
        <v>2018</v>
      </c>
      <c r="P46" s="45">
        <v>2019</v>
      </c>
      <c r="Q46" s="45">
        <v>2020</v>
      </c>
      <c r="R46" s="45">
        <v>2021</v>
      </c>
      <c r="S46" s="45">
        <v>2022</v>
      </c>
      <c r="T46" s="46">
        <v>2023</v>
      </c>
    </row>
    <row r="47" spans="1:20" ht="17.149999999999999" customHeight="1" x14ac:dyDescent="0.35">
      <c r="C47" s="38" t="s">
        <v>320</v>
      </c>
      <c r="D47" s="40"/>
      <c r="E47" s="40" t="s">
        <v>435</v>
      </c>
      <c r="F47" s="259"/>
      <c r="H47" s="255">
        <v>7.1169304465828436</v>
      </c>
      <c r="I47" s="256">
        <v>7.7094345621462308</v>
      </c>
      <c r="J47" s="256">
        <v>7.9058546996362251</v>
      </c>
      <c r="K47" s="256">
        <v>8.7948629097944711</v>
      </c>
      <c r="L47" s="256">
        <v>9.6377941551288728</v>
      </c>
      <c r="M47" s="256">
        <v>9.2465344925612154</v>
      </c>
      <c r="N47" s="257">
        <v>8.5004790715951195</v>
      </c>
      <c r="O47" s="257">
        <v>8.0460000000000012</v>
      </c>
      <c r="P47" s="257">
        <v>7.452</v>
      </c>
      <c r="Q47" s="257">
        <v>6.976565432093528</v>
      </c>
      <c r="R47" s="256">
        <v>7.8934685369511204</v>
      </c>
      <c r="S47" s="256">
        <v>8.6916051073311547</v>
      </c>
      <c r="T47" s="258">
        <v>8.6742218971164924</v>
      </c>
    </row>
    <row r="48" spans="1:20" ht="17.149999999999999" customHeight="1" x14ac:dyDescent="0.35">
      <c r="C48" s="7"/>
    </row>
    <row r="49" spans="1:5" x14ac:dyDescent="0.35">
      <c r="A49" t="s">
        <v>733</v>
      </c>
      <c r="B49" s="102">
        <v>45645</v>
      </c>
      <c r="C49" s="15" t="s">
        <v>734</v>
      </c>
    </row>
    <row r="50" spans="1:5" x14ac:dyDescent="0.35">
      <c r="C50" s="7"/>
    </row>
    <row r="51" spans="1:5" x14ac:dyDescent="0.35">
      <c r="D51" s="62" t="s">
        <v>735</v>
      </c>
      <c r="E51" s="105" t="s">
        <v>736</v>
      </c>
    </row>
    <row r="52" spans="1:5" ht="43.5" x14ac:dyDescent="0.35">
      <c r="B52" s="2"/>
      <c r="C52" s="2" t="s">
        <v>438</v>
      </c>
      <c r="D52" s="106" t="s">
        <v>737</v>
      </c>
      <c r="E52" s="268" t="s">
        <v>738</v>
      </c>
    </row>
    <row r="53" spans="1:5" x14ac:dyDescent="0.35">
      <c r="B53" s="2"/>
      <c r="C53" s="2" t="s">
        <v>438</v>
      </c>
      <c r="D53" s="106" t="s">
        <v>739</v>
      </c>
      <c r="E53" s="107" t="s">
        <v>740</v>
      </c>
    </row>
    <row r="54" spans="1:5" x14ac:dyDescent="0.35">
      <c r="B54" s="2"/>
      <c r="C54" s="2" t="s">
        <v>438</v>
      </c>
      <c r="D54" s="108" t="s">
        <v>741</v>
      </c>
      <c r="E54" s="109" t="s">
        <v>741</v>
      </c>
    </row>
    <row r="55" spans="1:5" ht="29" x14ac:dyDescent="0.35">
      <c r="B55" s="2"/>
      <c r="C55" s="2" t="s">
        <v>438</v>
      </c>
      <c r="D55" s="108" t="s">
        <v>741</v>
      </c>
      <c r="E55" s="269" t="s">
        <v>742</v>
      </c>
    </row>
    <row r="56" spans="1:5" x14ac:dyDescent="0.35">
      <c r="B56" s="2"/>
      <c r="C56" s="2" t="s">
        <v>438</v>
      </c>
      <c r="D56" s="110" t="s">
        <v>743</v>
      </c>
      <c r="E56" s="111" t="s">
        <v>741</v>
      </c>
    </row>
    <row r="57" spans="1:5" x14ac:dyDescent="0.35">
      <c r="B57" s="2"/>
      <c r="C57" s="2" t="s">
        <v>438</v>
      </c>
      <c r="D57" s="112" t="s">
        <v>121</v>
      </c>
      <c r="E57" s="113" t="s">
        <v>121</v>
      </c>
    </row>
    <row r="58" spans="1:5" x14ac:dyDescent="0.35">
      <c r="D58" s="110" t="s">
        <v>744</v>
      </c>
      <c r="E58" s="111" t="s">
        <v>121</v>
      </c>
    </row>
    <row r="59" spans="1:5" x14ac:dyDescent="0.35">
      <c r="B59" s="2"/>
      <c r="C59" s="2" t="s">
        <v>745</v>
      </c>
      <c r="D59" s="110" t="s">
        <v>746</v>
      </c>
      <c r="E59" s="111" t="s">
        <v>747</v>
      </c>
    </row>
    <row r="60" spans="1:5" x14ac:dyDescent="0.35">
      <c r="D60" s="108" t="s">
        <v>748</v>
      </c>
      <c r="E60" s="109" t="s">
        <v>748</v>
      </c>
    </row>
    <row r="61" spans="1:5" x14ac:dyDescent="0.35">
      <c r="B61" s="2"/>
      <c r="C61" s="2" t="s">
        <v>745</v>
      </c>
      <c r="D61" s="110" t="s">
        <v>749</v>
      </c>
      <c r="E61" s="111" t="s">
        <v>748</v>
      </c>
    </row>
    <row r="62" spans="1:5" x14ac:dyDescent="0.35">
      <c r="B62" s="2"/>
      <c r="C62" s="2" t="s">
        <v>438</v>
      </c>
      <c r="D62" s="108" t="s">
        <v>750</v>
      </c>
      <c r="E62" s="109" t="s">
        <v>751</v>
      </c>
    </row>
    <row r="63" spans="1:5" x14ac:dyDescent="0.35">
      <c r="B63" s="2"/>
      <c r="C63" s="2" t="s">
        <v>745</v>
      </c>
      <c r="D63" s="110" t="s">
        <v>752</v>
      </c>
      <c r="E63" s="111" t="s">
        <v>751</v>
      </c>
    </row>
    <row r="64" spans="1:5" x14ac:dyDescent="0.35">
      <c r="B64" s="114"/>
      <c r="C64" s="37" t="s">
        <v>753</v>
      </c>
      <c r="D64" s="7"/>
    </row>
    <row r="65" spans="1:21" x14ac:dyDescent="0.35">
      <c r="C65" s="114"/>
    </row>
    <row r="66" spans="1:21" x14ac:dyDescent="0.35">
      <c r="A66" t="s">
        <v>754</v>
      </c>
      <c r="C66" s="15" t="s">
        <v>755</v>
      </c>
      <c r="H66" s="11" t="s">
        <v>430</v>
      </c>
      <c r="N66" s="83"/>
    </row>
    <row r="67" spans="1:21" x14ac:dyDescent="0.35">
      <c r="C67" s="130"/>
      <c r="D67" s="17"/>
      <c r="E67" s="17" t="s">
        <v>668</v>
      </c>
      <c r="F67" s="23" t="s">
        <v>756</v>
      </c>
      <c r="H67" s="181">
        <v>2011</v>
      </c>
      <c r="I67" s="182">
        <v>2012</v>
      </c>
      <c r="J67" s="182">
        <v>2013</v>
      </c>
      <c r="K67" s="182">
        <v>2014</v>
      </c>
      <c r="L67" s="182">
        <v>2015</v>
      </c>
      <c r="M67" s="182">
        <v>2016</v>
      </c>
      <c r="N67" s="45">
        <v>2017</v>
      </c>
      <c r="O67" s="45">
        <v>2018</v>
      </c>
      <c r="P67" s="45">
        <v>2019</v>
      </c>
      <c r="Q67" s="45">
        <v>2020</v>
      </c>
      <c r="R67" s="45">
        <v>2021</v>
      </c>
      <c r="S67" s="45">
        <v>2022</v>
      </c>
      <c r="T67" s="46">
        <v>2023</v>
      </c>
    </row>
    <row r="68" spans="1:21" x14ac:dyDescent="0.35">
      <c r="C68" s="14" t="s">
        <v>757</v>
      </c>
      <c r="D68" s="37"/>
      <c r="E68" s="37" t="s">
        <v>758</v>
      </c>
      <c r="F68" s="131">
        <v>5</v>
      </c>
      <c r="H68" s="201">
        <v>1669381</v>
      </c>
      <c r="I68" s="69">
        <v>1575176</v>
      </c>
      <c r="J68" s="69">
        <v>1517153</v>
      </c>
      <c r="K68" s="69">
        <v>1406489</v>
      </c>
      <c r="L68" s="69">
        <v>1189724</v>
      </c>
      <c r="M68" s="69">
        <v>1155758</v>
      </c>
      <c r="N68" s="69">
        <v>1234841</v>
      </c>
      <c r="O68" s="69">
        <v>1311915</v>
      </c>
      <c r="P68" s="69">
        <v>1311723</v>
      </c>
      <c r="Q68" s="69">
        <v>1183187</v>
      </c>
      <c r="R68" s="69">
        <v>1139514</v>
      </c>
      <c r="S68" s="69">
        <v>1158569.9642526838</v>
      </c>
      <c r="T68" s="530"/>
    </row>
    <row r="69" spans="1:21" x14ac:dyDescent="0.35">
      <c r="C69" s="14" t="s">
        <v>759</v>
      </c>
      <c r="D69" s="37"/>
      <c r="E69" s="37" t="s">
        <v>268</v>
      </c>
      <c r="F69" s="131">
        <v>6</v>
      </c>
      <c r="H69" s="47">
        <v>749300.30999999994</v>
      </c>
      <c r="I69" s="184">
        <v>760713.03</v>
      </c>
      <c r="J69" s="184">
        <v>777731.13</v>
      </c>
      <c r="K69" s="184">
        <v>689075.64</v>
      </c>
      <c r="L69" s="184">
        <v>499070.88</v>
      </c>
      <c r="M69" s="184">
        <v>560310.30000000005</v>
      </c>
      <c r="N69" s="184">
        <v>552371.49</v>
      </c>
      <c r="O69" s="184">
        <v>690746.76</v>
      </c>
      <c r="P69" s="184">
        <v>665254.26</v>
      </c>
      <c r="Q69" s="184">
        <v>473177.43</v>
      </c>
      <c r="R69" s="184">
        <v>639361.80000000005</v>
      </c>
      <c r="S69" s="184">
        <v>720604.69419220649</v>
      </c>
      <c r="T69" s="453"/>
    </row>
    <row r="70" spans="1:21" x14ac:dyDescent="0.35">
      <c r="C70" s="20" t="s">
        <v>760</v>
      </c>
      <c r="D70" s="42"/>
      <c r="E70" s="42" t="s">
        <v>268</v>
      </c>
      <c r="F70" s="132">
        <v>7</v>
      </c>
      <c r="H70" s="531">
        <v>1300274.75</v>
      </c>
      <c r="I70" s="83">
        <v>1351892.7</v>
      </c>
      <c r="J70" s="83">
        <v>1122156.3999999999</v>
      </c>
      <c r="K70" s="83">
        <v>843674.29999999993</v>
      </c>
      <c r="L70" s="83">
        <v>724885.1</v>
      </c>
      <c r="M70" s="83">
        <v>696790.04999999993</v>
      </c>
      <c r="N70" s="532">
        <v>835939.29999999993</v>
      </c>
      <c r="O70" s="532">
        <v>903243.15</v>
      </c>
      <c r="P70" s="532">
        <v>872107.65</v>
      </c>
      <c r="Q70" s="532">
        <v>693537.95</v>
      </c>
      <c r="R70" s="532">
        <v>659390.04999999993</v>
      </c>
      <c r="S70" s="532">
        <v>646569.68049684877</v>
      </c>
      <c r="T70" s="453"/>
    </row>
    <row r="71" spans="1:21" x14ac:dyDescent="0.35">
      <c r="C71" s="133" t="s">
        <v>277</v>
      </c>
      <c r="D71" s="90"/>
      <c r="E71" s="90"/>
      <c r="F71" s="97"/>
      <c r="H71" s="537">
        <f t="shared" ref="H71:M71" si="0">SUM(H68:H70)</f>
        <v>3718956.06</v>
      </c>
      <c r="I71" s="538">
        <f t="shared" si="0"/>
        <v>3687781.7300000004</v>
      </c>
      <c r="J71" s="538">
        <f t="shared" si="0"/>
        <v>3417040.53</v>
      </c>
      <c r="K71" s="538">
        <f t="shared" si="0"/>
        <v>2939238.94</v>
      </c>
      <c r="L71" s="538">
        <f t="shared" si="0"/>
        <v>2413679.98</v>
      </c>
      <c r="M71" s="538">
        <f t="shared" si="0"/>
        <v>2412858.35</v>
      </c>
      <c r="N71" s="538">
        <f>SUM(N68:N70)</f>
        <v>2623151.79</v>
      </c>
      <c r="O71" s="538">
        <f t="shared" ref="O71:R71" si="1">SUM(O68:O70)</f>
        <v>2905904.91</v>
      </c>
      <c r="P71" s="538">
        <f t="shared" si="1"/>
        <v>2849084.91</v>
      </c>
      <c r="Q71" s="538">
        <f t="shared" si="1"/>
        <v>2349902.38</v>
      </c>
      <c r="R71" s="538">
        <f t="shared" si="1"/>
        <v>2438265.85</v>
      </c>
      <c r="S71" s="1279">
        <f>SUM(S68:S70)</f>
        <v>2525744.3389417389</v>
      </c>
      <c r="T71" s="539"/>
      <c r="U71" s="250"/>
    </row>
    <row r="72" spans="1:21" x14ac:dyDescent="0.35">
      <c r="C72" s="134" t="s">
        <v>761</v>
      </c>
      <c r="D72" s="135"/>
      <c r="E72" s="135"/>
      <c r="F72" s="136"/>
      <c r="H72" s="533">
        <f t="shared" ref="H72:M72" si="2">H68/H71</f>
        <v>0.44888430330096452</v>
      </c>
      <c r="I72" s="534">
        <f t="shared" si="2"/>
        <v>0.42713373928451015</v>
      </c>
      <c r="J72" s="534">
        <f t="shared" si="2"/>
        <v>0.44399619690785469</v>
      </c>
      <c r="K72" s="534">
        <f t="shared" si="2"/>
        <v>0.47852149100882557</v>
      </c>
      <c r="L72" s="534">
        <f t="shared" si="2"/>
        <v>0.4929087575230251</v>
      </c>
      <c r="M72" s="534">
        <f t="shared" si="2"/>
        <v>0.47899952353191388</v>
      </c>
      <c r="N72" s="534">
        <f>N68/N71</f>
        <v>0.47074706263948224</v>
      </c>
      <c r="O72" s="534">
        <f t="shared" ref="O72:S72" si="3">O68/O71</f>
        <v>0.45146522017473723</v>
      </c>
      <c r="P72" s="534">
        <f t="shared" si="3"/>
        <v>0.46040151186648909</v>
      </c>
      <c r="Q72" s="534">
        <f t="shared" si="3"/>
        <v>0.50350474558862313</v>
      </c>
      <c r="R72" s="534">
        <f t="shared" si="3"/>
        <v>0.46734608533355787</v>
      </c>
      <c r="S72" s="534">
        <f t="shared" si="3"/>
        <v>0.45870436939714682</v>
      </c>
      <c r="T72" s="493"/>
    </row>
    <row r="73" spans="1:21" x14ac:dyDescent="0.35">
      <c r="C73" s="134" t="s">
        <v>762</v>
      </c>
      <c r="D73" s="135"/>
      <c r="E73" s="135"/>
      <c r="F73" s="136"/>
      <c r="H73" s="533">
        <f t="shared" ref="H73:M73" si="4">H69/H71</f>
        <v>0.2014813560340909</v>
      </c>
      <c r="I73" s="534">
        <f t="shared" si="4"/>
        <v>0.20627929896490918</v>
      </c>
      <c r="J73" s="534">
        <f t="shared" si="4"/>
        <v>0.22760371823860107</v>
      </c>
      <c r="K73" s="534">
        <f t="shared" si="4"/>
        <v>0.23444015749192545</v>
      </c>
      <c r="L73" s="534">
        <f t="shared" si="4"/>
        <v>0.20676762625341907</v>
      </c>
      <c r="M73" s="534">
        <f t="shared" si="4"/>
        <v>0.23221848062485725</v>
      </c>
      <c r="N73" s="534">
        <f>N69/N71</f>
        <v>0.21057549628113589</v>
      </c>
      <c r="O73" s="534">
        <f t="shared" ref="O73:S73" si="5">O69/O71</f>
        <v>0.237704529705344</v>
      </c>
      <c r="P73" s="534">
        <f t="shared" si="5"/>
        <v>0.23349751973520508</v>
      </c>
      <c r="Q73" s="534">
        <f t="shared" si="5"/>
        <v>0.2013604624716368</v>
      </c>
      <c r="R73" s="534">
        <f t="shared" si="5"/>
        <v>0.26221988877874003</v>
      </c>
      <c r="S73" s="534">
        <f t="shared" si="5"/>
        <v>0.28530389362136804</v>
      </c>
      <c r="T73" s="493"/>
    </row>
    <row r="74" spans="1:21" x14ac:dyDescent="0.35">
      <c r="C74" s="137" t="s">
        <v>763</v>
      </c>
      <c r="D74" s="92"/>
      <c r="E74" s="92"/>
      <c r="F74" s="98"/>
      <c r="H74" s="535">
        <f t="shared" ref="H74:M74" si="6">H70/H71</f>
        <v>0.34963434066494453</v>
      </c>
      <c r="I74" s="536">
        <f t="shared" si="6"/>
        <v>0.36658696175058053</v>
      </c>
      <c r="J74" s="536">
        <f t="shared" si="6"/>
        <v>0.32840008485354427</v>
      </c>
      <c r="K74" s="536">
        <f t="shared" si="6"/>
        <v>0.28703835149924894</v>
      </c>
      <c r="L74" s="536">
        <f t="shared" si="6"/>
        <v>0.30032361622355586</v>
      </c>
      <c r="M74" s="536">
        <f t="shared" si="6"/>
        <v>0.28878199584322878</v>
      </c>
      <c r="N74" s="536">
        <f>N70/N71</f>
        <v>0.31867744107938178</v>
      </c>
      <c r="O74" s="536">
        <f t="shared" ref="O74:S74" si="7">O70/O71</f>
        <v>0.31083025011991877</v>
      </c>
      <c r="P74" s="536">
        <f t="shared" si="7"/>
        <v>0.30610096839830581</v>
      </c>
      <c r="Q74" s="536">
        <f t="shared" si="7"/>
        <v>0.29513479193974007</v>
      </c>
      <c r="R74" s="536">
        <f t="shared" si="7"/>
        <v>0.2704340258877021</v>
      </c>
      <c r="S74" s="536">
        <f t="shared" si="7"/>
        <v>0.2559917369814852</v>
      </c>
      <c r="T74" s="495"/>
    </row>
    <row r="75" spans="1:21" x14ac:dyDescent="0.35">
      <c r="C75" s="114"/>
    </row>
    <row r="76" spans="1:21" x14ac:dyDescent="0.35">
      <c r="H76" s="11" t="s">
        <v>430</v>
      </c>
      <c r="N76" s="83"/>
    </row>
    <row r="77" spans="1:21" x14ac:dyDescent="0.35">
      <c r="A77" t="s">
        <v>764</v>
      </c>
      <c r="B77" s="102">
        <v>45645</v>
      </c>
      <c r="C77" s="15" t="s">
        <v>765</v>
      </c>
      <c r="H77" s="181">
        <v>2011</v>
      </c>
      <c r="I77" s="182">
        <v>2012</v>
      </c>
      <c r="J77" s="182">
        <v>2013</v>
      </c>
      <c r="K77" s="182">
        <v>2014</v>
      </c>
      <c r="L77" s="182">
        <v>2015</v>
      </c>
      <c r="M77" s="182">
        <v>2016</v>
      </c>
      <c r="N77" s="45">
        <v>2017</v>
      </c>
      <c r="O77" s="45">
        <v>2018</v>
      </c>
      <c r="P77" s="45">
        <v>2019</v>
      </c>
      <c r="Q77" s="45">
        <v>2020</v>
      </c>
      <c r="R77" s="45">
        <v>2021</v>
      </c>
      <c r="S77" s="45">
        <v>2022</v>
      </c>
      <c r="T77" s="46">
        <v>2023</v>
      </c>
    </row>
    <row r="78" spans="1:21" x14ac:dyDescent="0.35">
      <c r="C78" s="36" t="s">
        <v>436</v>
      </c>
      <c r="D78" s="19"/>
      <c r="E78" s="19"/>
      <c r="F78" s="24"/>
      <c r="H78" s="72"/>
      <c r="I78" s="73"/>
      <c r="J78" s="73"/>
      <c r="K78" s="73"/>
      <c r="L78" s="73"/>
      <c r="M78" s="73"/>
      <c r="N78" s="28"/>
      <c r="O78" s="28"/>
      <c r="P78" s="28"/>
      <c r="Q78" s="28"/>
      <c r="R78" s="28"/>
      <c r="S78" s="28"/>
      <c r="T78" s="415"/>
    </row>
    <row r="79" spans="1:21" x14ac:dyDescent="0.35">
      <c r="C79" s="14" t="s">
        <v>766</v>
      </c>
      <c r="D79" s="37"/>
      <c r="E79" s="37" t="s">
        <v>444</v>
      </c>
      <c r="F79" s="34" t="s">
        <v>445</v>
      </c>
      <c r="H79" s="74">
        <v>679.42170918315878</v>
      </c>
      <c r="I79">
        <v>820.677848343812</v>
      </c>
      <c r="J79">
        <v>901.70105494550944</v>
      </c>
      <c r="K79">
        <v>1064.3182746075524</v>
      </c>
      <c r="L79">
        <v>1043.6040396993114</v>
      </c>
      <c r="M79">
        <v>961.77730405746672</v>
      </c>
      <c r="N79" s="183">
        <v>905.05027935672433</v>
      </c>
      <c r="O79" s="183">
        <v>928.24602901500873</v>
      </c>
      <c r="P79" s="183">
        <v>912.71358047397109</v>
      </c>
      <c r="Q79" s="183">
        <v>848.17820016635812</v>
      </c>
      <c r="R79" s="183">
        <v>943.64179973067621</v>
      </c>
      <c r="S79" s="183">
        <v>1054.803879026837</v>
      </c>
      <c r="T79" s="51">
        <v>1210.9732871556507</v>
      </c>
    </row>
    <row r="80" spans="1:21" x14ac:dyDescent="0.35">
      <c r="C80" s="14" t="s">
        <v>767</v>
      </c>
      <c r="D80" s="37"/>
      <c r="E80" s="37" t="s">
        <v>268</v>
      </c>
      <c r="F80" s="34" t="s">
        <v>448</v>
      </c>
      <c r="H80" s="74">
        <v>6793.2130134496729</v>
      </c>
      <c r="I80">
        <v>7539.6076384567987</v>
      </c>
      <c r="J80">
        <v>6525.9114902943347</v>
      </c>
      <c r="K80">
        <v>5671.1273033109574</v>
      </c>
      <c r="L80">
        <v>4276.3425849472387</v>
      </c>
      <c r="M80">
        <v>4084.9216649112764</v>
      </c>
      <c r="N80" s="183">
        <v>4401.3381712464852</v>
      </c>
      <c r="O80" s="183">
        <v>5207.9188236605005</v>
      </c>
      <c r="P80" s="183">
        <v>5982.8895054869363</v>
      </c>
      <c r="Q80" s="183">
        <v>4458.7743902930633</v>
      </c>
      <c r="R80" s="183">
        <v>5070.0897101900919</v>
      </c>
      <c r="S80" s="183">
        <v>5424.1164773470027</v>
      </c>
      <c r="T80" s="51">
        <v>5702.6372213749664</v>
      </c>
    </row>
    <row r="81" spans="1:20" x14ac:dyDescent="0.35">
      <c r="C81" s="20" t="s">
        <v>277</v>
      </c>
      <c r="D81" s="42"/>
      <c r="E81" s="42" t="s">
        <v>268</v>
      </c>
      <c r="F81" s="43"/>
      <c r="H81" s="416">
        <f t="shared" ref="H81:M81" si="8">SUM(H79:H80)</f>
        <v>7472.6347226328317</v>
      </c>
      <c r="I81" s="32">
        <f t="shared" si="8"/>
        <v>8360.2854868006107</v>
      </c>
      <c r="J81" s="32">
        <f t="shared" si="8"/>
        <v>7427.6125452398446</v>
      </c>
      <c r="K81" s="32">
        <f t="shared" si="8"/>
        <v>6735.44557791851</v>
      </c>
      <c r="L81" s="32">
        <f t="shared" si="8"/>
        <v>5319.9466246465499</v>
      </c>
      <c r="M81" s="32">
        <f t="shared" si="8"/>
        <v>5046.6989689687434</v>
      </c>
      <c r="N81" s="32">
        <f>SUM(N79:N80)</f>
        <v>5306.38845060321</v>
      </c>
      <c r="O81" s="32">
        <f t="shared" ref="O81:T81" si="9">SUM(O79:O80)</f>
        <v>6136.1648526755089</v>
      </c>
      <c r="P81" s="32">
        <f t="shared" si="9"/>
        <v>6895.6030859609073</v>
      </c>
      <c r="Q81" s="32">
        <f t="shared" si="9"/>
        <v>5306.9525904594211</v>
      </c>
      <c r="R81" s="32">
        <f t="shared" si="9"/>
        <v>6013.7315099207681</v>
      </c>
      <c r="S81" s="32">
        <f t="shared" si="9"/>
        <v>6478.9203563738392</v>
      </c>
      <c r="T81" s="368">
        <f t="shared" si="9"/>
        <v>6913.6105085306172</v>
      </c>
    </row>
    <row r="82" spans="1:20" ht="15.65" customHeight="1" x14ac:dyDescent="0.35">
      <c r="H82" s="407" t="s">
        <v>768</v>
      </c>
    </row>
    <row r="83" spans="1:20" ht="15.65" customHeight="1" x14ac:dyDescent="0.35">
      <c r="C83" s="366"/>
    </row>
    <row r="84" spans="1:20" ht="15.65" customHeight="1" x14ac:dyDescent="0.35">
      <c r="C84" s="366"/>
      <c r="H84" s="181">
        <v>2011</v>
      </c>
      <c r="I84" s="182">
        <v>2012</v>
      </c>
      <c r="J84" s="182">
        <v>2013</v>
      </c>
      <c r="K84" s="182">
        <v>2014</v>
      </c>
      <c r="L84" s="182">
        <v>2015</v>
      </c>
      <c r="M84" s="182">
        <v>2016</v>
      </c>
      <c r="N84" s="45">
        <v>2017</v>
      </c>
      <c r="O84" s="45">
        <v>2018</v>
      </c>
      <c r="P84" s="45">
        <v>2019</v>
      </c>
      <c r="Q84" s="45">
        <v>2020</v>
      </c>
      <c r="R84" s="45">
        <v>2021</v>
      </c>
      <c r="S84" s="45">
        <v>2022</v>
      </c>
      <c r="T84" s="46">
        <v>2023</v>
      </c>
    </row>
    <row r="85" spans="1:20" ht="15.65" customHeight="1" x14ac:dyDescent="0.35">
      <c r="C85" s="540" t="s">
        <v>769</v>
      </c>
      <c r="D85" s="63"/>
      <c r="E85" s="121" t="s">
        <v>770</v>
      </c>
      <c r="F85" s="64"/>
      <c r="H85" s="65">
        <f>H81/H71*10^6</f>
        <v>2009.3366531017393</v>
      </c>
      <c r="I85" s="63">
        <f t="shared" ref="I85:S85" si="10">I81/I71*10^6</f>
        <v>2267.0228605966358</v>
      </c>
      <c r="J85" s="63">
        <f t="shared" si="10"/>
        <v>2173.6975256889459</v>
      </c>
      <c r="K85" s="63">
        <f t="shared" si="10"/>
        <v>2291.5610861900564</v>
      </c>
      <c r="L85" s="63">
        <f t="shared" si="10"/>
        <v>2204.0811825627979</v>
      </c>
      <c r="M85" s="63">
        <f t="shared" si="10"/>
        <v>2091.5852639956024</v>
      </c>
      <c r="N85" s="63">
        <f t="shared" si="10"/>
        <v>2022.9056018916885</v>
      </c>
      <c r="O85" s="63">
        <f t="shared" si="10"/>
        <v>2111.6192864946529</v>
      </c>
      <c r="P85" s="63">
        <f t="shared" si="10"/>
        <v>2420.2869706543447</v>
      </c>
      <c r="Q85" s="63">
        <f t="shared" si="10"/>
        <v>2258.3715117814472</v>
      </c>
      <c r="R85" s="63">
        <f t="shared" si="10"/>
        <v>2466.3969722254724</v>
      </c>
      <c r="S85" s="63">
        <f t="shared" si="10"/>
        <v>2565.1528765134008</v>
      </c>
      <c r="T85" s="63"/>
    </row>
    <row r="86" spans="1:20" ht="15.65" customHeight="1" x14ac:dyDescent="0.35">
      <c r="C86" s="15"/>
    </row>
    <row r="87" spans="1:20" ht="15.65" customHeight="1" x14ac:dyDescent="0.35">
      <c r="C87" s="15"/>
      <c r="H87" s="11" t="s">
        <v>430</v>
      </c>
      <c r="N87" s="83"/>
    </row>
    <row r="88" spans="1:20" ht="15.65" customHeight="1" x14ac:dyDescent="0.35">
      <c r="C88" s="15" t="s">
        <v>771</v>
      </c>
      <c r="H88" s="179">
        <v>2011</v>
      </c>
      <c r="I88" s="180">
        <v>2012</v>
      </c>
      <c r="J88" s="180">
        <v>2013</v>
      </c>
      <c r="K88" s="180">
        <v>2014</v>
      </c>
      <c r="L88" s="180">
        <v>2015</v>
      </c>
      <c r="M88" s="180">
        <v>2016</v>
      </c>
      <c r="N88" s="12">
        <v>2017</v>
      </c>
      <c r="O88" s="12">
        <v>2018</v>
      </c>
      <c r="P88" s="12">
        <v>2019</v>
      </c>
      <c r="Q88" s="12">
        <v>2020</v>
      </c>
      <c r="R88" s="12">
        <v>2021</v>
      </c>
      <c r="S88" s="12">
        <v>2022</v>
      </c>
      <c r="T88" s="13">
        <v>2023</v>
      </c>
    </row>
    <row r="89" spans="1:20" ht="15.65" customHeight="1" x14ac:dyDescent="0.35">
      <c r="C89" s="355" t="s">
        <v>772</v>
      </c>
      <c r="D89" s="121"/>
      <c r="E89" s="121" t="s">
        <v>268</v>
      </c>
      <c r="F89" s="123"/>
      <c r="H89" s="412">
        <f>H81*36%</f>
        <v>2690.1485001478195</v>
      </c>
      <c r="I89" s="413">
        <f t="shared" ref="I89:T89" si="11">I81*36%</f>
        <v>3009.70277524822</v>
      </c>
      <c r="J89" s="413">
        <f t="shared" si="11"/>
        <v>2673.9405162863441</v>
      </c>
      <c r="K89" s="413">
        <f t="shared" si="11"/>
        <v>2424.7604080506635</v>
      </c>
      <c r="L89" s="413">
        <f t="shared" si="11"/>
        <v>1915.1807848727578</v>
      </c>
      <c r="M89" s="413">
        <f t="shared" si="11"/>
        <v>1816.8116288287476</v>
      </c>
      <c r="N89" s="413">
        <f t="shared" si="11"/>
        <v>1910.2998422171556</v>
      </c>
      <c r="O89" s="413">
        <f t="shared" si="11"/>
        <v>2209.0193469631831</v>
      </c>
      <c r="P89" s="413">
        <f t="shared" si="11"/>
        <v>2482.4171109459267</v>
      </c>
      <c r="Q89" s="413">
        <f t="shared" si="11"/>
        <v>1910.5029325653916</v>
      </c>
      <c r="R89" s="413">
        <f t="shared" si="11"/>
        <v>2164.9433435714764</v>
      </c>
      <c r="S89" s="413">
        <f t="shared" si="11"/>
        <v>2332.4113282945818</v>
      </c>
      <c r="T89" s="414">
        <f t="shared" si="11"/>
        <v>2488.8997830710223</v>
      </c>
    </row>
    <row r="90" spans="1:20" ht="15.65" customHeight="1" x14ac:dyDescent="0.35">
      <c r="D90" s="37"/>
      <c r="E90" s="37"/>
      <c r="F90" s="37"/>
      <c r="H90" s="397"/>
      <c r="I90" s="397"/>
      <c r="J90" s="397"/>
      <c r="K90" s="397"/>
      <c r="L90" s="397"/>
      <c r="M90" s="397"/>
      <c r="N90" s="397"/>
      <c r="O90" s="397"/>
      <c r="P90" s="397">
        <f>(P89-L89)/L89</f>
        <v>0.29617899811523812</v>
      </c>
      <c r="Q90" s="397"/>
      <c r="R90" s="397"/>
      <c r="S90" s="397"/>
      <c r="T90" s="397">
        <f>(T89-Q89)/Q89</f>
        <v>0.30274585851013014</v>
      </c>
    </row>
    <row r="91" spans="1:20" ht="15.65" customHeight="1" x14ac:dyDescent="0.35">
      <c r="C91" s="116" t="s">
        <v>773</v>
      </c>
      <c r="D91" s="37"/>
      <c r="E91" s="37"/>
      <c r="F91" s="37"/>
      <c r="H91" s="397"/>
      <c r="I91" s="397"/>
      <c r="J91" s="397"/>
      <c r="K91" s="397"/>
      <c r="L91" s="397"/>
      <c r="M91" s="397"/>
      <c r="N91" s="397"/>
      <c r="O91" s="397"/>
      <c r="P91" s="397"/>
      <c r="Q91" s="397"/>
      <c r="R91" s="397"/>
      <c r="S91" s="397"/>
      <c r="T91" s="397"/>
    </row>
    <row r="92" spans="1:20" ht="15.65" customHeight="1" x14ac:dyDescent="0.35">
      <c r="A92" s="144" t="s">
        <v>774</v>
      </c>
      <c r="C92" s="409" t="s">
        <v>775</v>
      </c>
      <c r="D92" s="37"/>
      <c r="E92" s="37"/>
      <c r="F92" s="37"/>
      <c r="H92" s="397"/>
      <c r="I92" s="397"/>
      <c r="J92" s="397"/>
      <c r="K92" s="397"/>
      <c r="L92" s="397"/>
      <c r="M92" s="397"/>
      <c r="N92" s="397"/>
      <c r="O92" s="397"/>
      <c r="P92" s="397"/>
      <c r="Q92" s="397"/>
      <c r="R92" s="397"/>
      <c r="S92" s="397"/>
      <c r="T92" s="397"/>
    </row>
    <row r="93" spans="1:20" ht="15.65" customHeight="1" x14ac:dyDescent="0.35">
      <c r="C93" t="s">
        <v>776</v>
      </c>
      <c r="D93" s="37"/>
      <c r="E93" s="37"/>
      <c r="F93" s="37"/>
      <c r="H93" s="397"/>
      <c r="I93" s="397"/>
      <c r="J93" s="397"/>
      <c r="K93" s="397"/>
      <c r="L93" s="397"/>
      <c r="M93" s="397"/>
      <c r="N93" s="397"/>
      <c r="O93" s="397"/>
      <c r="P93" s="397"/>
      <c r="Q93" s="397"/>
      <c r="R93" s="397"/>
      <c r="S93" s="397"/>
      <c r="T93" s="397"/>
    </row>
    <row r="94" spans="1:20" ht="15.65" customHeight="1" x14ac:dyDescent="0.35">
      <c r="C94" t="s">
        <v>777</v>
      </c>
    </row>
    <row r="95" spans="1:20" ht="15.65" customHeight="1" x14ac:dyDescent="0.35"/>
    <row r="96" spans="1:20" ht="15.65" customHeight="1" x14ac:dyDescent="0.35">
      <c r="C96" t="s">
        <v>778</v>
      </c>
    </row>
    <row r="97" spans="1:21" ht="15.65" customHeight="1" x14ac:dyDescent="0.35"/>
    <row r="98" spans="1:21" ht="15.65" customHeight="1" x14ac:dyDescent="0.35">
      <c r="C98" s="786" t="s">
        <v>779</v>
      </c>
      <c r="H98" s="179">
        <v>2011</v>
      </c>
      <c r="I98" s="180">
        <v>2012</v>
      </c>
      <c r="J98" s="180">
        <v>2013</v>
      </c>
      <c r="K98" s="180">
        <v>2014</v>
      </c>
      <c r="L98" s="180">
        <v>2015</v>
      </c>
      <c r="M98" s="180">
        <v>2016</v>
      </c>
      <c r="N98" s="12">
        <v>2017</v>
      </c>
      <c r="O98" s="12">
        <v>2018</v>
      </c>
      <c r="P98" s="12">
        <v>2019</v>
      </c>
      <c r="Q98" s="12">
        <v>2020</v>
      </c>
      <c r="R98" s="12">
        <v>2021</v>
      </c>
      <c r="S98" s="12">
        <v>2022</v>
      </c>
      <c r="T98" s="12">
        <v>2023</v>
      </c>
      <c r="U98" s="13">
        <v>2024</v>
      </c>
    </row>
    <row r="99" spans="1:21" ht="15.65" customHeight="1" x14ac:dyDescent="0.35">
      <c r="C99" s="72" t="s">
        <v>780</v>
      </c>
      <c r="D99" s="73"/>
      <c r="E99" s="73"/>
      <c r="F99" s="29"/>
      <c r="H99" s="788">
        <v>10024307408.330002</v>
      </c>
      <c r="I99" s="789">
        <v>10621212127.960005</v>
      </c>
      <c r="J99" s="789">
        <v>11687130965.109995</v>
      </c>
      <c r="K99" s="789">
        <v>10084525736.250002</v>
      </c>
      <c r="L99" s="789">
        <v>8375522467.5000019</v>
      </c>
      <c r="M99" s="789">
        <v>8261889357.3699999</v>
      </c>
      <c r="N99" s="789">
        <v>9101232180.6300068</v>
      </c>
      <c r="O99" s="789">
        <v>9999519967.4000034</v>
      </c>
      <c r="P99" s="789">
        <v>11108173212.489998</v>
      </c>
      <c r="Q99" s="789">
        <v>8819061299.680006</v>
      </c>
      <c r="R99" s="789">
        <v>9389336924.2200069</v>
      </c>
      <c r="S99" s="789">
        <v>10250387701.220001</v>
      </c>
      <c r="T99" s="789">
        <v>10944226458.569998</v>
      </c>
      <c r="U99" s="790">
        <v>11702268462.199999</v>
      </c>
    </row>
    <row r="100" spans="1:21" ht="15.65" customHeight="1" x14ac:dyDescent="0.35">
      <c r="C100" s="74" t="s">
        <v>781</v>
      </c>
      <c r="F100" s="31"/>
      <c r="H100" s="788">
        <v>0</v>
      </c>
      <c r="I100" s="789">
        <v>0</v>
      </c>
      <c r="J100" s="789">
        <v>0</v>
      </c>
      <c r="K100" s="789">
        <v>0</v>
      </c>
      <c r="L100" s="789">
        <v>0</v>
      </c>
      <c r="M100" s="789">
        <v>0</v>
      </c>
      <c r="N100" s="789">
        <v>0</v>
      </c>
      <c r="O100" s="789">
        <v>0</v>
      </c>
      <c r="P100" s="789">
        <v>462245358.58999997</v>
      </c>
      <c r="Q100" s="789">
        <v>380758845.09999996</v>
      </c>
      <c r="R100" s="789">
        <v>384709454.51999998</v>
      </c>
      <c r="S100" s="789">
        <v>526731740.16000003</v>
      </c>
      <c r="T100" s="789">
        <v>607104527.25999987</v>
      </c>
      <c r="U100" s="790">
        <v>559665866.75</v>
      </c>
    </row>
    <row r="101" spans="1:21" ht="15.65" customHeight="1" x14ac:dyDescent="0.35">
      <c r="C101" s="74" t="s">
        <v>484</v>
      </c>
      <c r="F101" s="31"/>
      <c r="H101" s="788">
        <v>3307706897.5100007</v>
      </c>
      <c r="I101" s="789">
        <v>3437083335.0400004</v>
      </c>
      <c r="J101" s="789">
        <v>3422605286.4399996</v>
      </c>
      <c r="K101" s="789">
        <v>3206769916.5299997</v>
      </c>
      <c r="L101" s="789">
        <v>3034776298.3600016</v>
      </c>
      <c r="M101" s="789">
        <v>2792536753.1099987</v>
      </c>
      <c r="N101" s="789">
        <v>2673593504.2599993</v>
      </c>
      <c r="O101" s="789">
        <v>2954914319.0099998</v>
      </c>
      <c r="P101" s="789">
        <v>3241621570.5700002</v>
      </c>
      <c r="Q101" s="789">
        <v>2854473510.9400001</v>
      </c>
      <c r="R101" s="789">
        <v>3121497339.0699997</v>
      </c>
      <c r="S101" s="789">
        <v>3265633243.5900006</v>
      </c>
      <c r="T101" s="789">
        <v>3388249663.8699994</v>
      </c>
      <c r="U101" s="790">
        <v>3530151413.8000002</v>
      </c>
    </row>
    <row r="102" spans="1:21" ht="15.65" customHeight="1" x14ac:dyDescent="0.35">
      <c r="C102" s="74" t="s">
        <v>782</v>
      </c>
      <c r="F102" s="31"/>
      <c r="H102" s="788">
        <v>0</v>
      </c>
      <c r="I102" s="789">
        <v>0</v>
      </c>
      <c r="J102" s="789">
        <v>0</v>
      </c>
      <c r="K102" s="789">
        <v>0</v>
      </c>
      <c r="L102" s="789">
        <v>0</v>
      </c>
      <c r="M102" s="789">
        <v>50145310.500000015</v>
      </c>
      <c r="N102" s="789">
        <v>60496374.860000014</v>
      </c>
      <c r="O102" s="789">
        <v>41008954.390000001</v>
      </c>
      <c r="P102" s="789">
        <v>52564077.230000004</v>
      </c>
      <c r="Q102" s="789">
        <v>65732196.700000018</v>
      </c>
      <c r="R102" s="789">
        <v>88602267.800000012</v>
      </c>
      <c r="S102" s="789">
        <v>107451371.63</v>
      </c>
      <c r="T102" s="789">
        <v>124454174.52999999</v>
      </c>
      <c r="U102" s="790">
        <v>129734541.37000002</v>
      </c>
    </row>
    <row r="103" spans="1:21" ht="15.65" customHeight="1" x14ac:dyDescent="0.35">
      <c r="C103" s="74" t="s">
        <v>485</v>
      </c>
      <c r="F103" s="31"/>
      <c r="H103" s="788">
        <v>1157879649.24</v>
      </c>
      <c r="I103" s="789">
        <v>1167065413.9399996</v>
      </c>
      <c r="J103" s="789">
        <v>1302353074.4799998</v>
      </c>
      <c r="K103" s="789">
        <v>1152576556.8399997</v>
      </c>
      <c r="L103" s="789">
        <v>1000792818.7100004</v>
      </c>
      <c r="M103" s="789">
        <v>882851302.50999951</v>
      </c>
      <c r="N103" s="789">
        <v>963875367.99999988</v>
      </c>
      <c r="O103" s="789">
        <v>1214043436.75</v>
      </c>
      <c r="P103" s="789">
        <v>1137121886.4200003</v>
      </c>
      <c r="Q103" s="789">
        <v>936024669.39999974</v>
      </c>
      <c r="R103" s="789">
        <v>1102552772.9800005</v>
      </c>
      <c r="S103" s="789">
        <v>1032718403.35</v>
      </c>
      <c r="T103" s="789">
        <v>1382978968.0100005</v>
      </c>
      <c r="U103" s="790">
        <v>1670146361.8900006</v>
      </c>
    </row>
    <row r="104" spans="1:21" ht="15.65" customHeight="1" x14ac:dyDescent="0.35">
      <c r="C104" s="74" t="s">
        <v>783</v>
      </c>
      <c r="F104" s="31"/>
      <c r="H104" s="788">
        <v>1597406232.3699999</v>
      </c>
      <c r="I104" s="789">
        <v>1585139831.3599999</v>
      </c>
      <c r="J104" s="789">
        <v>1690291005.3800004</v>
      </c>
      <c r="K104" s="789">
        <v>1702430652.0599997</v>
      </c>
      <c r="L104" s="789">
        <v>1566380986.1099999</v>
      </c>
      <c r="M104" s="789">
        <v>1378392258.75</v>
      </c>
      <c r="N104" s="789">
        <v>1358745495.21</v>
      </c>
      <c r="O104" s="789">
        <v>1516780502.0500002</v>
      </c>
      <c r="P104" s="789">
        <v>1816426232.25</v>
      </c>
      <c r="Q104" s="789">
        <v>1805040057.7099996</v>
      </c>
      <c r="R104" s="789">
        <v>2148992294.5699997</v>
      </c>
      <c r="S104" s="789">
        <v>2512020942.2999997</v>
      </c>
      <c r="T104" s="789">
        <v>2576129966.0599999</v>
      </c>
      <c r="U104" s="790">
        <v>2615392841.0599999</v>
      </c>
    </row>
    <row r="105" spans="1:21" ht="15.65" customHeight="1" x14ac:dyDescent="0.35">
      <c r="C105" s="74" t="s">
        <v>784</v>
      </c>
      <c r="F105" s="31"/>
      <c r="H105" s="788">
        <v>800841234.80999994</v>
      </c>
      <c r="I105" s="789">
        <v>926666380.21000004</v>
      </c>
      <c r="J105" s="789">
        <v>880234119.90000021</v>
      </c>
      <c r="K105" s="789">
        <v>864134741.31999993</v>
      </c>
      <c r="L105" s="789">
        <v>888841967.18999994</v>
      </c>
      <c r="M105" s="789">
        <v>775585858.62</v>
      </c>
      <c r="N105" s="789">
        <v>961255467.30000019</v>
      </c>
      <c r="O105" s="789">
        <v>760738682.28999996</v>
      </c>
      <c r="P105" s="789">
        <v>790667945.48000002</v>
      </c>
      <c r="Q105" s="789">
        <v>834457151.74000001</v>
      </c>
      <c r="R105" s="789">
        <v>1075415142.4299998</v>
      </c>
      <c r="S105" s="789">
        <v>1096344540.1099999</v>
      </c>
      <c r="T105" s="789">
        <v>1157652446.8800001</v>
      </c>
      <c r="U105" s="790">
        <v>1050311188.05</v>
      </c>
    </row>
    <row r="106" spans="1:21" ht="15.65" customHeight="1" x14ac:dyDescent="0.35">
      <c r="C106" s="74" t="s">
        <v>785</v>
      </c>
      <c r="F106" s="31"/>
      <c r="H106" s="788">
        <v>0</v>
      </c>
      <c r="I106" s="789">
        <v>0</v>
      </c>
      <c r="J106" s="789">
        <v>0</v>
      </c>
      <c r="K106" s="789">
        <v>0</v>
      </c>
      <c r="L106" s="789">
        <v>0</v>
      </c>
      <c r="M106" s="789">
        <v>56066191.630000003</v>
      </c>
      <c r="N106" s="789">
        <v>42138868.049999997</v>
      </c>
      <c r="O106" s="789">
        <v>84323952.049999997</v>
      </c>
      <c r="P106" s="789">
        <v>106042428.43000001</v>
      </c>
      <c r="Q106" s="789">
        <v>78727000.739999995</v>
      </c>
      <c r="R106" s="789">
        <v>105300911.72999999</v>
      </c>
      <c r="S106" s="789">
        <v>90981878.200000003</v>
      </c>
      <c r="T106" s="789">
        <v>126386118.06999999</v>
      </c>
      <c r="U106" s="790">
        <v>138591919.67999998</v>
      </c>
    </row>
    <row r="107" spans="1:21" ht="15.65" customHeight="1" x14ac:dyDescent="0.35">
      <c r="C107" s="787" t="s">
        <v>786</v>
      </c>
      <c r="D107" s="100"/>
      <c r="E107" s="100"/>
      <c r="F107" s="33"/>
      <c r="H107" s="791">
        <v>16999976418.905397</v>
      </c>
      <c r="I107" s="792">
        <v>17849777567.923641</v>
      </c>
      <c r="J107" s="792">
        <v>19093462246.667515</v>
      </c>
      <c r="K107" s="792">
        <v>17110080379.622826</v>
      </c>
      <c r="L107" s="792">
        <v>14966326936.069145</v>
      </c>
      <c r="M107" s="792">
        <v>14291658476.255346</v>
      </c>
      <c r="N107" s="792">
        <v>15254974885.378384</v>
      </c>
      <c r="O107" s="792">
        <v>16666502616.995218</v>
      </c>
      <c r="P107" s="792">
        <v>18818916280.261436</v>
      </c>
      <c r="Q107" s="792">
        <v>15854788960.544792</v>
      </c>
      <c r="R107" s="792">
        <v>17507341260.64362</v>
      </c>
      <c r="S107" s="792">
        <v>19167516789.628151</v>
      </c>
      <c r="T107" s="792">
        <v>21183749571.179054</v>
      </c>
      <c r="U107" s="793">
        <v>22901856236.189655</v>
      </c>
    </row>
    <row r="109" spans="1:21" ht="15.65" customHeight="1" x14ac:dyDescent="0.35">
      <c r="A109" t="s">
        <v>787</v>
      </c>
      <c r="C109" s="15" t="s">
        <v>788</v>
      </c>
      <c r="H109" s="179">
        <v>2011</v>
      </c>
      <c r="I109" s="180">
        <v>2012</v>
      </c>
      <c r="J109" s="180">
        <v>2013</v>
      </c>
      <c r="K109" s="180">
        <v>2014</v>
      </c>
      <c r="L109" s="180">
        <v>2015</v>
      </c>
      <c r="M109" s="180">
        <v>2016</v>
      </c>
      <c r="N109" s="12">
        <v>2017</v>
      </c>
      <c r="O109" s="12">
        <v>2018</v>
      </c>
      <c r="P109" s="12">
        <v>2019</v>
      </c>
      <c r="Q109" s="12">
        <v>2020</v>
      </c>
      <c r="R109" s="12">
        <v>2021</v>
      </c>
      <c r="S109" s="12">
        <v>2022</v>
      </c>
      <c r="T109" s="13">
        <v>2023</v>
      </c>
    </row>
    <row r="110" spans="1:21" ht="15.65" customHeight="1" x14ac:dyDescent="0.35">
      <c r="A110" t="s">
        <v>789</v>
      </c>
      <c r="C110" s="72" t="s">
        <v>790</v>
      </c>
      <c r="D110" s="73"/>
      <c r="E110" s="73"/>
      <c r="F110" s="29"/>
      <c r="H110" s="428">
        <f>H107</f>
        <v>16999976418.905397</v>
      </c>
      <c r="I110" s="428">
        <f t="shared" ref="I110:T110" si="12">I107</f>
        <v>17849777567.923641</v>
      </c>
      <c r="J110" s="428">
        <f t="shared" si="12"/>
        <v>19093462246.667515</v>
      </c>
      <c r="K110" s="428">
        <f t="shared" si="12"/>
        <v>17110080379.622826</v>
      </c>
      <c r="L110" s="428">
        <f t="shared" si="12"/>
        <v>14966326936.069145</v>
      </c>
      <c r="M110" s="428">
        <f t="shared" si="12"/>
        <v>14291658476.255346</v>
      </c>
      <c r="N110" s="428">
        <f t="shared" si="12"/>
        <v>15254974885.378384</v>
      </c>
      <c r="O110" s="428">
        <f t="shared" si="12"/>
        <v>16666502616.995218</v>
      </c>
      <c r="P110" s="428">
        <f t="shared" si="12"/>
        <v>18818916280.261436</v>
      </c>
      <c r="Q110" s="428">
        <f t="shared" si="12"/>
        <v>15854788960.544792</v>
      </c>
      <c r="R110" s="428">
        <f t="shared" si="12"/>
        <v>17507341260.64362</v>
      </c>
      <c r="S110" s="428">
        <f t="shared" si="12"/>
        <v>19167516789.628151</v>
      </c>
      <c r="T110" s="428">
        <f t="shared" si="12"/>
        <v>21183749571.179054</v>
      </c>
    </row>
    <row r="111" spans="1:21" ht="15.65" customHeight="1" x14ac:dyDescent="0.35">
      <c r="C111" s="365" t="s">
        <v>791</v>
      </c>
      <c r="D111" s="100"/>
      <c r="E111" s="100"/>
      <c r="F111" s="33"/>
      <c r="H111" s="429">
        <f>H110*0.38</f>
        <v>6459991039.1840515</v>
      </c>
      <c r="I111" s="430">
        <f t="shared" ref="I111:T111" si="13">I110*0.38</f>
        <v>6782915475.8109837</v>
      </c>
      <c r="J111" s="430">
        <f t="shared" si="13"/>
        <v>7255515653.7336559</v>
      </c>
      <c r="K111" s="430">
        <f t="shared" si="13"/>
        <v>6501830544.2566738</v>
      </c>
      <c r="L111" s="430">
        <f t="shared" si="13"/>
        <v>5687204235.706275</v>
      </c>
      <c r="M111" s="430">
        <f t="shared" si="13"/>
        <v>5430830220.9770317</v>
      </c>
      <c r="N111" s="430">
        <f t="shared" si="13"/>
        <v>5796890456.4437857</v>
      </c>
      <c r="O111" s="430">
        <f t="shared" si="13"/>
        <v>6333270994.4581833</v>
      </c>
      <c r="P111" s="430">
        <f t="shared" si="13"/>
        <v>7151188186.4993458</v>
      </c>
      <c r="Q111" s="430">
        <f t="shared" si="13"/>
        <v>6024819805.007021</v>
      </c>
      <c r="R111" s="430">
        <f t="shared" si="13"/>
        <v>6652789679.0445757</v>
      </c>
      <c r="S111" s="430">
        <f t="shared" si="13"/>
        <v>7283656380.0586977</v>
      </c>
      <c r="T111" s="431">
        <f t="shared" si="13"/>
        <v>8049824837.0480404</v>
      </c>
    </row>
    <row r="112" spans="1:21" ht="15.65" customHeight="1" x14ac:dyDescent="0.35">
      <c r="C112" s="15"/>
    </row>
    <row r="113" spans="1:20" ht="15.65" customHeight="1" x14ac:dyDescent="0.35">
      <c r="C113" s="15" t="s">
        <v>771</v>
      </c>
      <c r="H113" s="181">
        <v>2011</v>
      </c>
      <c r="I113" s="182">
        <v>2012</v>
      </c>
      <c r="J113" s="182">
        <v>2013</v>
      </c>
      <c r="K113" s="182">
        <v>2014</v>
      </c>
      <c r="L113" s="182">
        <v>2015</v>
      </c>
      <c r="M113" s="182">
        <v>2016</v>
      </c>
      <c r="N113" s="45">
        <v>2017</v>
      </c>
      <c r="O113" s="45">
        <v>2018</v>
      </c>
      <c r="P113" s="45">
        <v>2019</v>
      </c>
      <c r="Q113" s="45">
        <v>2020</v>
      </c>
      <c r="R113" s="45">
        <v>2021</v>
      </c>
      <c r="S113" s="45">
        <v>2022</v>
      </c>
      <c r="T113" s="46">
        <v>2023</v>
      </c>
    </row>
    <row r="114" spans="1:20" ht="15.65" customHeight="1" x14ac:dyDescent="0.35">
      <c r="A114" s="984" t="s">
        <v>792</v>
      </c>
      <c r="C114" s="355" t="s">
        <v>772</v>
      </c>
      <c r="D114" s="121"/>
      <c r="E114" s="121" t="s">
        <v>268</v>
      </c>
      <c r="F114" s="123"/>
      <c r="H114" s="543">
        <f>H111*36%</f>
        <v>2325596774.1062584</v>
      </c>
      <c r="I114" s="544">
        <f t="shared" ref="I114:T114" si="14">I111*36%</f>
        <v>2441849571.291954</v>
      </c>
      <c r="J114" s="544">
        <f t="shared" si="14"/>
        <v>2611985635.3441162</v>
      </c>
      <c r="K114" s="544">
        <f t="shared" si="14"/>
        <v>2340658995.9324026</v>
      </c>
      <c r="L114" s="544">
        <f t="shared" si="14"/>
        <v>2047393524.854259</v>
      </c>
      <c r="M114" s="544">
        <f t="shared" si="14"/>
        <v>1955098879.5517313</v>
      </c>
      <c r="N114" s="544">
        <f t="shared" si="14"/>
        <v>2086880564.3197627</v>
      </c>
      <c r="O114" s="544">
        <f t="shared" si="14"/>
        <v>2279977558.0049458</v>
      </c>
      <c r="P114" s="544">
        <f t="shared" si="14"/>
        <v>2574427747.1397643</v>
      </c>
      <c r="Q114" s="544">
        <f t="shared" si="14"/>
        <v>2168935129.8025274</v>
      </c>
      <c r="R114" s="544">
        <f t="shared" si="14"/>
        <v>2395004284.4560471</v>
      </c>
      <c r="S114" s="544">
        <f t="shared" si="14"/>
        <v>2622116296.8211312</v>
      </c>
      <c r="T114" s="545">
        <f t="shared" si="14"/>
        <v>2897936941.3372946</v>
      </c>
    </row>
    <row r="115" spans="1:20" ht="15.65" customHeight="1" x14ac:dyDescent="0.35">
      <c r="C115" s="15"/>
      <c r="S115" s="378" t="e">
        <f>(#REF!-#REF!)/#REF!</f>
        <v>#REF!</v>
      </c>
      <c r="T115" s="378" t="e">
        <f>#REF!/T110</f>
        <v>#REF!</v>
      </c>
    </row>
    <row r="116" spans="1:20" ht="15.65" customHeight="1" x14ac:dyDescent="0.35">
      <c r="B116" t="s">
        <v>373</v>
      </c>
    </row>
    <row r="117" spans="1:20" ht="15.65" customHeight="1" x14ac:dyDescent="0.35"/>
  </sheetData>
  <hyperlinks>
    <hyperlink ref="A92" r:id="rId1" display="https://igedd.documentation.developpement-durable.gouv.fr/documents/Affaires-0011438/012741-01_rapport-publie.pdf;jsessionid=42C3EC2B04DA500554C047ED1585733F" xr:uid="{4420DA36-16C9-4AE6-81E5-17D3A52FFB5F}"/>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3.xml>��< ? x m l   v e r s i o n = " 1 . 0 "   e n c o d i n g = " U T F - 1 6 "   s t a n d a l o n e = " n o " ? > < D a t a M a s h u p   x m l n s = " h t t p : / / s c h e m a s . m i c r o s o f t . c o m / D a t a M a s h u p " > A A A A A D o 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N 7 + m p q 0 A A A D 3 A A A A E g A A A E N v b m Z p Z y 9 Q Y W N r Y W d l L n h t b H q / e 7 + N f U V u j k J Z a l F x Z n 6 e r Z K h n o G S Q n F J Y l 5 K Y k 5 + X q q t U l 6 + k r 0 d L 5 d N Q G J y d m J 6 q g J Q d V 6 x V U V x i q 1 S R k l J g Z W + f n l 5 u V 6 5 s V 5 + U b q + k Y G B o X 6 E r 0 9 w c k Z q b q I S X H E m Y c W 6 m X k g a 5 N T l e x s w i C u s T P S M z S 2 0 D O 0 M N A z s N G H C d r 4 Z u Y h F B g B H Q y S R R K 0 c S 7 N K S k t S r V L K 9 J 1 C 7 L R h 3 F t 9 K F + s A M A A A D / / w M A U E s D B B Q A A g A I A A A A I Q A t T Z G N S Q Q A A C w Z A A A T A A A A R m 9 y b X V s Y X M v U 2 V j d G l v b j E u b e y Y y 2 4 b N x S G 9 w b y D s R 4 E Q m Q l b n p M i 2 0 U O 0 U 8 c K N U L l F A d s F a A 2 l E O F c Q H J c B Y K B w L s + Q h 9 B R V d 9 h M 6 b + E l 6 5 m 5 V H L v q F I 6 K x h t Z H J 5 / D s n v X E R B Z p I G P p p m n 8 a X B w f i H e b E R Y f a O b 5 m R H e G q D X B C 4 I M 2 2 p r a I Q Y k S 8 O E P x N g 4 j P C I x M 3 H k 3 n S x a X 1 N G u s e B L 4 k v R U s 7 / u L y O 0 G 4 u B w v C X v 9 7 V f j y 5 P g J 5 8 F 2 B W X p m 5 a e t / o H X m Y M g Z v O M K E B 2 H A Z Y Q p J 0 d z j v 0 Z p q I b u n O t 3 U E X p 1 7 I i A f C O H F 1 p B l d S 7 t q d z J n S m d H u V + r i 1 N 3 V K 5 B u 7 q 9 O M E S X + X T D 7 X X / p G M f 5 V E o J A H X i S S p a W z u x P 4 H k j y h m A X X G 8 V E u B B / m T M 2 H S G G e Z i J H l E S h 9 g y z 6 E B H m B S + c 0 X l e K 5 7 A U M Q + 4 d x y w y P O T W a K l c K G z W m l a B 8 l E R Z K l v O 2 g l Q Z u w w y X I I b R y X S C i H / Y Y v P 2 D V 1 E J O J b 0 4 8 D L 8 Q L n 5 J 0 l h u v W b x e w M p h S 7 e l 4 / W c z q h E 7 k u y D F l A s 6 0 t L G e w x H i N T N 1 w U O v s / u 6 3 d q H g R 9 4 1 4 e X 7 i C 8 q Q 7 I E y 0 j G a w K u p s b p c K 3 A C d C C 4 p / h 1 Y q H k / E P h Q o 8 P f V l 3 + 4 m 2 5 c + P M f R M t k Y T o A M K g Q w l H l Q G k w I k A D A L E h l 9 d D h V 6 D / 0 A S 1 4 B / Y 1 U C o P P 0 + Y A J h 3 4 8 I f F Y v q f b 0 t v 3 i g P p q G B S R 5 Z S R Z e 9 / Z D n q y H K 2 I 2 u X I C h U E v K z c U N B d D J u 1 o x b N e N 2 z X i v Z r x f M z 6 o G R / W j D s 1 4 4 b e A J W h X a B i O H u P C j i r Q m V o N 0 7 C Q / u Z k v A 4 X m e 7 I L Z O E 2 Q g Z 9 Z k J M g 3 k k B K S n N K i N O U x I V i H u Y y T + l h Y p J l X H h L J u 6 C p 3 D E S A Y S s + I Z u / / 4 C y 7 8 U u S 2 H Y n q F U S Z + v 4 T 1 V M T 1 W t O V O + 5 i U L b C a 5 6 t p 3 k v g m 8 a 1 7 y U S K V l d Q E w v Y 2 X c d v 7 + / u 0 H u J y g k P K 9 m O n P R L T o z 9 5 6 S v 5 q T f n J P + Z 0 4 e 5 W R Q V C h n / z E Z q A v U o H m B G t i f 6 l d C V b F Q C C t L z 9 3 Q d R 2 9 9 3 5 c m b e K b v Y N v o Z + H w 4 g L 1 Y c l d U l o 8 a D D Y c t V L b C 5 2 V l m m y i 9 q Q R u q G C S u i x R V n 0 w F 8 q P P K 0 w O a 7 t l 2 G n t w L P h D f J 5 u w 7 4 i y 9 R 9 C 2 V K j b D V H 2 f r 0 K O e H K j m U H w Q w Z 9 8 h N e r l t 0 e a L J V O H h c P x U y 9 m V p u j 0 j G o I F y g v 9 G G 1 i z 0 l z J K p T E 7 l J J D W B R a b i T V B a m + F H B 9 D h Q j c i O 4 V Z 0 o o 6 5 / + G m b k Q H z R v R Q W 9 P w i 3 J q j k s m w k a d B Q p + S n r l + / y M v O 0 L Y V T 5 V 6 8 d m l y P l t 6 q N L K a 0 0 e L 0 X 4 I Q u d V X g v G / U z p l 1 c e 5 q D / r + L p W M P B / 0 d o E t c U U A H w 0 2 h A 4 l n g g 6 m s O S G + Y Z K k F B c Q y Y 3 c s k t J / z G p f 4 N E Z I K k W 5 L d f H 4 l y w 1 j f g c z 8 C m d e b 9 8 X v 7 E V H o C k D i F c z 6 5 z c w m z x A w / y Z i f 8 d E 3 8 C A A D / / w M A U E s B A i 0 A F A A G A A g A A A A h A C r d q k D S A A A A N w E A A B M A A A A A A A A A A A A A A A A A A A A A A F t D b 2 5 0 Z W 5 0 X 1 R 5 c G V z X S 5 4 b W x Q S w E C L Q A U A A I A C A A A A C E A N 7 + m p q 0 A A A D 3 A A A A E g A A A A A A A A A A A A A A A A A L A w A A Q 2 9 u Z m l n L 1 B h Y 2 t h Z 2 U u e G 1 s U E s B A i 0 A F A A C A A g A A A A h A C 1 N k Y 1 J B A A A L B k A A B M A A A A A A A A A A A A A A A A A 6 A M A A E Z v c m 1 1 b G F z L 1 N l Y 3 R p b 2 4 x L m 1 Q S w U G A A A A A A M A A w D C A A A A Y g g 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x 4 A A A A A A A A q n g 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5 O C U y M C h Q Y W d l J T I w M T Q z K T w v S X R l b V B h d G g + P C 9 J d G V t T G 9 j Y X R p b 2 4 + P F N 0 Y W J s Z U V u d H J p Z X M + P E V u d H J 5 I F R 5 c G U 9 I k F k Z G V k V G 9 E Y X R h T W 9 k Z W w i I F Z h b H V l P S J s M S I v P j x F b n R y e S B U e X B l P S J C d W Z m Z X J O Z X h 0 U m V m c m V z a C I g V m F s d W U 9 I m w x I i 8 + P E V u d H J 5 I F R 5 c G U 9 I k Z p b G x D b 3 V u d C I g V m F s d W U 9 I m w 2 I i 8 + P E V u d H J 5 I F R 5 c G U 9 I k Z p b G x F b m F i b G V k I i B W Y W x 1 Z T 0 i b D A i L z 4 8 R W 5 0 c n k g V H l w Z T 0 i R m l s b E V y c m 9 y Q 2 9 k Z S I g V m F s d W U 9 I n N V b m t u b 3 d u I i 8 + P E V u d H J 5 I F R 5 c G U 9 I k Z p b G x F c n J v c k N v d W 5 0 I i B W Y W x 1 Z T 0 i b D A i L z 4 8 R W 5 0 c n k g V H l w Z T 0 i R m l s b E x h c 3 R V c G R h d G V k I i B W Y W x 1 Z T 0 i Z D I w M j U t M D E t M T Z U M T U 6 M j Q 6 M T A u N T A z M j Q z M l o i L z 4 8 R W 5 0 c n k g V H l w Z T 0 i R m l s b E N v b H V t b l R 5 c G V z I i B W Y W x 1 Z T 0 i c 0 J n W U d C U V V G Q X d R R k J n P T 0 i L z 4 8 R W 5 0 c n k g V H l w Z T 0 i R m l s b E N v b H V t b k 5 h b W V z I i B W Y W x 1 Z T 0 i c 1 s m c X V v d D t D b 2 x 1 b W 4 x J n F 1 b 3 Q 7 L C Z x d W 9 0 O 0 R h d G V z I G R l I G x h I E R T U C B l b l x u d m l n d W V 1 c i Z x d W 9 0 O y w m c X V v d D t D b 2 1 w Y W d u a W V c b m T D q W z D q W d h d G F p c m U m c X V v d D s s J n F 1 b 3 Q 7 R M O p Z m l j a X Q g Z F x 1 M D A y N 2 V 4 c G x v a X R h d G l v b l x u Z M O p Y 2 x h c s O p I D I w M T k g K E 3 i g q w p J n F 1 b 3 Q 7 L C Z x d W 9 0 O 0 N v b X B l b n N h d G l v b l x u Z X j D q W N 1 d M O p Z S B l b i A y M D E 5 X G 4 o T e K C r C k m c X V v d D s s J n F 1 b 3 Q 7 R G 9 u d C D D i X R h d C Z x d W 9 0 O y w m c X V v d D t Q Q V g g Z W 4 g M j A x O S Z x d W 9 0 O y w m c X V v d D t U Y X V 4 I G R l I H J l b X B s a X N z Y W d l X G 5 l b i A y M D E 5 J n F 1 b 3 Q 7 L C Z x d W 9 0 O 0 N v b X B l b n N h d G l v b i 9 Q Q V h c b m V u I D I w M T k g K G V u I G V 1 c m 9 z K S Z x d W 9 0 O y w m c X V v d D t W b 2 x z I G F u b n V l b H M g Z W 4 g M j A x O 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M T B i Y T N k N j E t M D k z Y S 0 0 Y T V m L T h h M G Y t Y z Q 0 M z c z N T c 0 Z j E y I i 8 + P E V u d H J 5 I F R 5 c G U 9 I l J l b G F 0 a W 9 u c 2 h p c E l u Z m 9 D b 2 5 0 Y W l u Z X I i I F Z h b H V l P S J z e y Z x d W 9 0 O 2 N v b H V t b k N v d W 5 0 J n F 1 b 3 Q 7 O j E w L C Z x d W 9 0 O 2 t l e U N v b H V t b k 5 h b W V z J n F 1 b 3 Q 7 O l t d L C Z x d W 9 0 O 3 F 1 Z X J 5 U m V s Y X R p b 2 5 z a G l w c y Z x d W 9 0 O z p b X S w m c X V v d D t j b 2 x 1 b W 5 J Z G V u d G l 0 a W V z J n F 1 b 3 Q 7 O l s m c X V v d D t T Z W N 0 a W 9 u M S 9 U Y W J s Z T A 5 O C A o U G F n Z S A x N D M p L 1 R 5 c G U g b W 9 k a W Z p w 6 k u e y w w f S Z x d W 9 0 O y w m c X V v d D t T Z W N 0 a W 9 u M S 9 U Y W J s Z T A 5 O C A o U G F n Z S A x N D M p L 1 R 5 c G U g b W 9 k a W Z p w 6 k u e 0 R h d G V z I G R l I G x h I E R T U C B l b l x u d m l n d W V 1 c i w x f S Z x d W 9 0 O y w m c X V v d D t T Z W N 0 a W 9 u M S 9 U Y W J s Z T A 5 O C A o U G F n Z S A x N D M p L 1 R 5 c G U g b W 9 k a W Z p w 6 k u e 0 N v b X B h Z 2 5 p Z V x u Z M O p b M O p Z 2 F 0 Y W l y Z S w y f S Z x d W 9 0 O y w m c X V v d D t T Z W N 0 a W 9 u M S 9 U Y W J s Z T A 5 O C A o U G F n Z S A x N D M p L 1 R 5 c G U g b W 9 k a W Z p w 6 k u e 0 T D q W Z p Y 2 l 0 I G R c d T A w M j d l e H B s b 2 l 0 Y X R p b 2 5 c b m T D q W N s Y X L D q S A y M D E 5 I C h N 4 o K s K S w z f S Z x d W 9 0 O y w m c X V v d D t T Z W N 0 a W 9 u M S 9 U Y W J s Z T A 5 O C A o U G F n Z S A x N D M p L 1 R 5 c G U g b W 9 k a W Z p w 6 k u e 0 N v b X B l b n N h d G l v b l x u Z X j D q W N 1 d M O p Z S B l b i A y M D E 5 X G 4 o T e K C r C k s N H 0 m c X V v d D s s J n F 1 b 3 Q 7 U 2 V j d G l v b j E v V G F i b G U w O T g g K F B h Z 2 U g M T Q z K S 9 U e X B l I G 1 v Z G l m a c O p L n t E b 2 5 0 I M O J d G F 0 L D V 9 J n F 1 b 3 Q 7 L C Z x d W 9 0 O 1 N l Y 3 R p b 2 4 x L 1 R h Y m x l M D k 4 I C h Q Y W d l I D E 0 M y k v V H l w Z S B t b 2 R p Z m n D q S 5 7 U E F Y I G V u I D I w M T k s N n 0 m c X V v d D s s J n F 1 b 3 Q 7 U 2 V j d G l v b j E v V G F i b G U w O T g g K F B h Z 2 U g M T Q z K S 9 U e X B l I G 1 v Z G l m a c O p L n t U Y X V 4 I G R l I H J l b X B s a X N z Y W d l X G 5 l b i A y M D E 5 L D d 9 J n F 1 b 3 Q 7 L C Z x d W 9 0 O 1 N l Y 3 R p b 2 4 x L 1 R h Y m x l M D k 4 I C h Q Y W d l I D E 0 M y k v V H l w Z S B t b 2 R p Z m n D q S 5 7 Q 2 9 t c G V u c 2 F 0 a W 9 u L 1 B B W F x u Z W 4 g M j A x O S A o Z W 4 g Z X V y b 3 M p L D h 9 J n F 1 b 3 Q 7 L C Z x d W 9 0 O 1 N l Y 3 R p b 2 4 x L 1 R h Y m x l M D k 4 I C h Q Y W d l I D E 0 M y k v V H l w Z S B t b 2 R p Z m n D q S 5 7 V m 9 s c y B h b m 5 1 Z W x z I G V u I D I w M T k s O X 0 m c X V v d D t d L C Z x d W 9 0 O 0 N v b H V t b k N v d W 5 0 J n F 1 b 3 Q 7 O j E w L C Z x d W 9 0 O 0 t l e U N v b H V t b k 5 h b W V z J n F 1 b 3 Q 7 O l t d L C Z x d W 9 0 O 0 N v b H V t b k l k Z W 5 0 a X R p Z X M m c X V v d D s 6 W y Z x d W 9 0 O 1 N l Y 3 R p b 2 4 x L 1 R h Y m x l M D k 4 I C h Q Y W d l I D E 0 M y k v V H l w Z S B t b 2 R p Z m n D q S 5 7 L D B 9 J n F 1 b 3 Q 7 L C Z x d W 9 0 O 1 N l Y 3 R p b 2 4 x L 1 R h Y m x l M D k 4 I C h Q Y W d l I D E 0 M y k v V H l w Z S B t b 2 R p Z m n D q S 5 7 R G F 0 Z X M g Z G U g b G E g R F N Q I G V u X G 5 2 a W d 1 Z X V y L D F 9 J n F 1 b 3 Q 7 L C Z x d W 9 0 O 1 N l Y 3 R p b 2 4 x L 1 R h Y m x l M D k 4 I C h Q Y W d l I D E 0 M y k v V H l w Z S B t b 2 R p Z m n D q S 5 7 Q 2 9 t c G F n b m l l X G 5 k w 6 l s w 6 l n Y X R h a X J l L D J 9 J n F 1 b 3 Q 7 L C Z x d W 9 0 O 1 N l Y 3 R p b 2 4 x L 1 R h Y m x l M D k 4 I C h Q Y W d l I D E 0 M y k v V H l w Z S B t b 2 R p Z m n D q S 5 7 R M O p Z m l j a X Q g Z F x 1 M D A y N 2 V 4 c G x v a X R h d G l v b l x u Z M O p Y 2 x h c s O p I D I w M T k g K E 3 i g q w p L D N 9 J n F 1 b 3 Q 7 L C Z x d W 9 0 O 1 N l Y 3 R p b 2 4 x L 1 R h Y m x l M D k 4 I C h Q Y W d l I D E 0 M y k v V H l w Z S B t b 2 R p Z m n D q S 5 7 Q 2 9 t c G V u c 2 F 0 a W 9 u X G 5 l e M O p Y 3 V 0 w 6 l l I G V u I D I w M T l c b i h N 4 o K s K S w 0 f S Z x d W 9 0 O y w m c X V v d D t T Z W N 0 a W 9 u M S 9 U Y W J s Z T A 5 O C A o U G F n Z S A x N D M p L 1 R 5 c G U g b W 9 k a W Z p w 6 k u e 0 R v b n Q g w 4 l 0 Y X Q s N X 0 m c X V v d D s s J n F 1 b 3 Q 7 U 2 V j d G l v b j E v V G F i b G U w O T g g K F B h Z 2 U g M T Q z K S 9 U e X B l I G 1 v Z G l m a c O p L n t Q Q V g g Z W 4 g M j A x O S w 2 f S Z x d W 9 0 O y w m c X V v d D t T Z W N 0 a W 9 u M S 9 U Y W J s Z T A 5 O C A o U G F n Z S A x N D M p L 1 R 5 c G U g b W 9 k a W Z p w 6 k u e 1 R h d X g g Z G U g c m V t c G x p c 3 N h Z 2 V c b m V u I D I w M T k s N 3 0 m c X V v d D s s J n F 1 b 3 Q 7 U 2 V j d G l v b j E v V G F i b G U w O T g g K F B h Z 2 U g M T Q z K S 9 U e X B l I G 1 v Z G l m a c O p L n t D b 2 1 w Z W 5 z Y X R p b 2 4 v U E F Y X G 5 l b i A y M D E 5 I C h l b i B l d X J v c y k s O H 0 m c X V v d D s s J n F 1 b 3 Q 7 U 2 V j d G l v b j E v V G F i b G U w O T g g K F B h Z 2 U g M T Q z K S 9 U e X B l I G 1 v Z G l m a c O p L n t W b 2 x z I G F u b n V l b H M g Z W 4 g M j A x O S w 5 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O T k l M j A o U G F n Z S U y M D E 0 N C k 8 L 0 l 0 Z W 1 Q Y X R o P j w v S X R l b U x v Y 2 F 0 a W 9 u P j x T d G F i b G V F b n R y a W V z P j x F b n R y e S B U e X B l P S J B Z G R l Z F R v R G F 0 Y U 1 v Z G V s I i B W Y W x 1 Z T 0 i b D E i L z 4 8 R W 5 0 c n k g V H l w Z T 0 i Q n V m Z m V y T m V 4 d F J l Z n J l c 2 g i I F Z h b H V l P S J s M S I v P j x F b n R y e S B U e X B l P S J G a W x s Q 2 9 1 b n Q i I F Z h b H V l P S J s M T M i L z 4 8 R W 5 0 c n k g V H l w Z T 0 i R m l s b E V u Y W J s Z W Q i I F Z h b H V l P S J s M C I v P j x F b n R y e S B U e X B l P S J G a W x s R X J y b 3 J D b 2 R l I i B W Y W x 1 Z T 0 i c 1 V u a 2 5 v d 2 4 i L z 4 8 R W 5 0 c n k g V H l w Z T 0 i R m l s b E V y c m 9 y Q 2 9 1 b n Q i I F Z h b H V l P S J s M C I v P j x F b n R y e S B U e X B l P S J G a W x s T G F z d F V w Z G F 0 Z W Q i I F Z h b H V l P S J k M j A y N S 0 w M S 0 x N l Q x N T o y N D o x M C 4 1 M T c 2 M D I y W i I v P j x F b n R y e S B U e X B l P S J G a W x s Q 2 9 s d W 1 u V H l w Z X M i I F Z h b H V l P S J z Q m d Z R 0 J n W U d C Z 1 l H 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A i L z 4 8 R W 5 0 c n k g V H l w Z T 0 i R m l s b F N 0 Y X R 1 c y I g V m F s d W U 9 I n N D b 2 1 w b G V 0 Z S I v P j x F b n R y e S B U e X B l P S J G a W x s V G 9 E Y X R h T W 9 k Z W x F b m F i b G V k I i B W Y W x 1 Z T 0 i b D E i L z 4 8 R W 5 0 c n k g V H l w Z T 0 i S X N Q c m l 2 Y X R l I i B W Y W x 1 Z T 0 i b D A i L z 4 8 R W 5 0 c n k g V H l w Z T 0 i U X V l c n l J R C I g V m F s d W U 9 I n M w M T c 2 M j Q 4 N S 1 m O T Y 0 L T R j Y 2 Y t Y j Z j N i 0 0 M j g 0 M j g 4 Y T Y y O T E i L z 4 8 R W 5 0 c n k g V H l w Z T 0 i U m V s Y X R p b 2 5 z a G l w S W 5 m b 0 N v b n R h a W 5 l c i I g V m F s d W U 9 I n N 7 J n F 1 b 3 Q 7 Y 2 9 s d W 1 u Q 2 9 1 b n Q m c X V v d D s 6 M T A s J n F 1 b 3 Q 7 a 2 V 5 Q 2 9 s d W 1 u T m F t Z X M m c X V v d D s 6 W 1 0 s J n F 1 b 3 Q 7 c X V l c n l S Z W x h d G l v b n N o a X B z J n F 1 b 3 Q 7 O l t d L C Z x d W 9 0 O 2 N v b H V t b k l k Z W 5 0 a X R p Z X M m c X V v d D s 6 W y Z x d W 9 0 O 1 N l Y 3 R p b 2 4 x L 1 R h Y m x l M D k 5 I C h Q Y W d l I D E 0 N C k v V H l w Z S B t b 2 R p Z m n D q S 5 7 Q 2 9 s d W 1 u M S w w f S Z x d W 9 0 O y w m c X V v d D t T Z W N 0 a W 9 u M S 9 U Y W J s Z T A 5 O S A o U G F n Z S A x N D Q p L 1 R 5 c G U g b W 9 k a W Z p w 6 k u e 0 N v b H V t b j I s M X 0 m c X V v d D s s J n F 1 b 3 Q 7 U 2 V j d G l v b j E v V G F i b G U w O T k g K F B h Z 2 U g M T Q 0 K S 9 U e X B l I G 1 v Z G l m a c O p L n t D b 2 x 1 b W 4 z L D J 9 J n F 1 b 3 Q 7 L C Z x d W 9 0 O 1 N l Y 3 R p b 2 4 x L 1 R h Y m x l M D k 5 I C h Q Y W d l I D E 0 N C k v V H l w Z S B t b 2 R p Z m n D q S 5 7 Q 2 9 s d W 1 u N C w z f S Z x d W 9 0 O y w m c X V v d D t T Z W N 0 a W 9 u M S 9 U Y W J s Z T A 5 O S A o U G F n Z S A x N D Q p L 1 R 5 c G U g b W 9 k a W Z p w 6 k u e 0 N v b H V t b j U s N H 0 m c X V v d D s s J n F 1 b 3 Q 7 U 2 V j d G l v b j E v V G F i b G U w O T k g K F B h Z 2 U g M T Q 0 K S 9 U e X B l I G 1 v Z G l m a c O p L n t D b 2 x 1 b W 4 2 L D V 9 J n F 1 b 3 Q 7 L C Z x d W 9 0 O 1 N l Y 3 R p b 2 4 x L 1 R h Y m x l M D k 5 I C h Q Y W d l I D E 0 N C k v V H l w Z S B t b 2 R p Z m n D q S 5 7 Q 2 9 s d W 1 u N y w 2 f S Z x d W 9 0 O y w m c X V v d D t T Z W N 0 a W 9 u M S 9 U Y W J s Z T A 5 O S A o U G F n Z S A x N D Q p L 1 R 5 c G U g b W 9 k a W Z p w 6 k u e 0 N v b H V t b j g s N 3 0 m c X V v d D s s J n F 1 b 3 Q 7 U 2 V j d G l v b j E v V G F i b G U w O T k g K F B h Z 2 U g M T Q 0 K S 9 U e X B l I G 1 v Z G l m a c O p L n t D b 2 x 1 b W 4 5 L D h 9 J n F 1 b 3 Q 7 L C Z x d W 9 0 O 1 N l Y 3 R p b 2 4 x L 1 R h Y m x l M D k 5 I C h Q Y W d l I D E 0 N C k v V H l w Z S B t b 2 R p Z m n D q S 5 7 Q 2 9 s d W 1 u M T A s O X 0 m c X V v d D t d L C Z x d W 9 0 O 0 N v b H V t b k N v d W 5 0 J n F 1 b 3 Q 7 O j E w L C Z x d W 9 0 O 0 t l e U N v b H V t b k 5 h b W V z J n F 1 b 3 Q 7 O l t d L C Z x d W 9 0 O 0 N v b H V t b k l k Z W 5 0 a X R p Z X M m c X V v d D s 6 W y Z x d W 9 0 O 1 N l Y 3 R p b 2 4 x L 1 R h Y m x l M D k 5 I C h Q Y W d l I D E 0 N C k v V H l w Z S B t b 2 R p Z m n D q S 5 7 Q 2 9 s d W 1 u M S w w f S Z x d W 9 0 O y w m c X V v d D t T Z W N 0 a W 9 u M S 9 U Y W J s Z T A 5 O S A o U G F n Z S A x N D Q p L 1 R 5 c G U g b W 9 k a W Z p w 6 k u e 0 N v b H V t b j I s M X 0 m c X V v d D s s J n F 1 b 3 Q 7 U 2 V j d G l v b j E v V G F i b G U w O T k g K F B h Z 2 U g M T Q 0 K S 9 U e X B l I G 1 v Z G l m a c O p L n t D b 2 x 1 b W 4 z L D J 9 J n F 1 b 3 Q 7 L C Z x d W 9 0 O 1 N l Y 3 R p b 2 4 x L 1 R h Y m x l M D k 5 I C h Q Y W d l I D E 0 N C k v V H l w Z S B t b 2 R p Z m n D q S 5 7 Q 2 9 s d W 1 u N C w z f S Z x d W 9 0 O y w m c X V v d D t T Z W N 0 a W 9 u M S 9 U Y W J s Z T A 5 O S A o U G F n Z S A x N D Q p L 1 R 5 c G U g b W 9 k a W Z p w 6 k u e 0 N v b H V t b j U s N H 0 m c X V v d D s s J n F 1 b 3 Q 7 U 2 V j d G l v b j E v V G F i b G U w O T k g K F B h Z 2 U g M T Q 0 K S 9 U e X B l I G 1 v Z G l m a c O p L n t D b 2 x 1 b W 4 2 L D V 9 J n F 1 b 3 Q 7 L C Z x d W 9 0 O 1 N l Y 3 R p b 2 4 x L 1 R h Y m x l M D k 5 I C h Q Y W d l I D E 0 N C k v V H l w Z S B t b 2 R p Z m n D q S 5 7 Q 2 9 s d W 1 u N y w 2 f S Z x d W 9 0 O y w m c X V v d D t T Z W N 0 a W 9 u M S 9 U Y W J s Z T A 5 O S A o U G F n Z S A x N D Q p L 1 R 5 c G U g b W 9 k a W Z p w 6 k u e 0 N v b H V t b j g s N 3 0 m c X V v d D s s J n F 1 b 3 Q 7 U 2 V j d G l v b j E v V G F i b G U w O T k g K F B h Z 2 U g M T Q 0 K S 9 U e X B l I G 1 v Z G l m a c O p L n t D b 2 x 1 b W 4 5 L D h 9 J n F 1 b 3 Q 7 L C Z x d W 9 0 O 1 N l Y 3 R p b 2 4 x L 1 R h Y m x l M D k 5 I C h Q Y W d l I D E 0 N C k v V H l w Z S B t b 2 R p Z m n D q S 5 7 Q 2 9 s d W 1 u M T A s O X 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M D g 0 J T I w K F B h Z 2 U l M j A x M T k p P C 9 J d G V t U G F 0 a D 4 8 L 0 l 0 Z W 1 M b 2 N h d G l v b j 4 8 U 3 R h Y m x l R W 5 0 c m l l c z 4 8 R W 5 0 c n k g V H l w Z T 0 i Q W R k Z W R U b 0 R h d G F N b 2 R l b C I g V m F s d W U 9 I m w x I i 8 + P E V u d H J 5 I F R 5 c G U 9 I k J 1 Z m Z l c k 5 l e H R S Z W Z y Z X N o I i B W Y W x 1 Z T 0 i b D E i L z 4 8 R W 5 0 c n k g V H l w Z T 0 i R m l s b E N v d W 5 0 I i B W Y W x 1 Z T 0 i b D Y i L z 4 8 R W 5 0 c n k g V H l w Z T 0 i R m l s b E V u Y W J s Z W Q i I F Z h b H V l P S J s M C I v P j x F b n R y e S B U e X B l P S J G a W x s R X J y b 3 J D b 2 R l I i B W Y W x 1 Z T 0 i c 1 V u a 2 5 v d 2 4 i L z 4 8 R W 5 0 c n k g V H l w Z T 0 i R m l s b E V y c m 9 y Q 2 9 1 b n Q i I F Z h b H V l P S J s M C I v P j x F b n R y e S B U e X B l P S J G a W x s T G F z d F V w Z G F 0 Z W Q i I F Z h b H V l P S J k M j A y N S 0 w M S 0 x N l Q x N T o 0 M D o z M S 4 y M D A 3 M j Q 0 W i I v P j x F b n R y e S B U e X B l P S J G a W x s Q 2 9 s d W 1 u V H l w Z X M i I F Z h b H V l P S J z Q m d N R E J B P T 0 i L z 4 8 R W 5 0 c n k g V H l w Z T 0 i R m l s b E N v b H V t b k 5 h b W V z I i B W Y W x 1 Z T 0 i c 1 s m c X V v d D t B w 6 l y b 3 B v c n R z J n F 1 b 3 Q 7 L C Z x d W 9 0 O 1 R y Y W Z p Y y A y M D E 5 J n F 1 b 3 Q 7 L C Z x d W 9 0 O 1 B l c n R l I G R l X G 5 w Y X N z Y W d l c n M m c X V v d D s s J n F 1 b 3 Q 7 U G F y d C B k Z S B s Y S B w Z X J 0 Z V x u Z G U g d H J h Z m l j I G R h b n M g b G U g d G 9 0 Y W x c b m R l I G z i g J l h w 6 l y b 3 B v c n Q 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z h m N z l k M D V i L T Z m N G U t N G Q z M i 0 4 N D k 3 L T A 3 N m I 5 M G Z i M z k 1 N S I v P j x F b n R y e S B U e X B l P S J S Z W x h d G l v b n N o a X B J b m Z v Q 2 9 u d G F p b m V y I i B W Y W x 1 Z T 0 i c 3 s m c X V v d D t j b 2 x 1 b W 5 D b 3 V u d C Z x d W 9 0 O z o 0 L C Z x d W 9 0 O 2 t l e U N v b H V t b k 5 h b W V z J n F 1 b 3 Q 7 O l t d L C Z x d W 9 0 O 3 F 1 Z X J 5 U m V s Y X R p b 2 5 z a G l w c y Z x d W 9 0 O z p b X S w m c X V v d D t j b 2 x 1 b W 5 J Z G V u d G l 0 a W V z J n F 1 b 3 Q 7 O l s m c X V v d D t T Z W N 0 a W 9 u M S 9 U Y W J s Z T A 4 N C A o U G F n Z S A x M T k p L 1 R 5 c G U g b W 9 k a W Z p w 6 k u e 0 H D q X J v c G 9 y d H M s M H 0 m c X V v d D s s J n F 1 b 3 Q 7 U 2 V j d G l v b j E v V G F i b G U w O D Q g K F B h Z 2 U g M T E 5 K S 9 U e X B l I G 1 v Z G l m a c O p L n t U c m F m a W M g M j A x O S w x f S Z x d W 9 0 O y w m c X V v d D t T Z W N 0 a W 9 u M S 9 U Y W J s Z T A 4 N C A o U G F n Z S A x M T k p L 1 R 5 c G U g b W 9 k a W Z p w 6 k u e 1 B l c n R l I G R l X G 5 w Y X N z Y W d l c n M s M n 0 m c X V v d D s s J n F 1 b 3 Q 7 U 2 V j d G l v b j E v V G F i b G U w O D Q g K F B h Z 2 U g M T E 5 K S 9 U e X B l I G 1 v Z G l m a c O p L n t Q Y X J 0 I G R l I G x h I H B l c n R l X G 5 k Z S B 0 c m F m a W M g Z G F u c y B s Z S B 0 b 3 R h b F x u Z G U g b O K A m W H D q X J v c G 9 y d C w z f S Z x d W 9 0 O 1 0 s J n F 1 b 3 Q 7 Q 2 9 s d W 1 u Q 2 9 1 b n Q m c X V v d D s 6 N C w m c X V v d D t L Z X l D b 2 x 1 b W 5 O Y W 1 l c y Z x d W 9 0 O z p b X S w m c X V v d D t D b 2 x 1 b W 5 J Z G V u d G l 0 a W V z J n F 1 b 3 Q 7 O l s m c X V v d D t T Z W N 0 a W 9 u M S 9 U Y W J s Z T A 4 N C A o U G F n Z S A x M T k p L 1 R 5 c G U g b W 9 k a W Z p w 6 k u e 0 H D q X J v c G 9 y d H M s M H 0 m c X V v d D s s J n F 1 b 3 Q 7 U 2 V j d G l v b j E v V G F i b G U w O D Q g K F B h Z 2 U g M T E 5 K S 9 U e X B l I G 1 v Z G l m a c O p L n t U c m F m a W M g M j A x O S w x f S Z x d W 9 0 O y w m c X V v d D t T Z W N 0 a W 9 u M S 9 U Y W J s Z T A 4 N C A o U G F n Z S A x M T k p L 1 R 5 c G U g b W 9 k a W Z p w 6 k u e 1 B l c n R l I G R l X G 5 w Y X N z Y W d l c n M s M n 0 m c X V v d D s s J n F 1 b 3 Q 7 U 2 V j d G l v b j E v V G F i b G U w O D Q g K F B h Z 2 U g M T E 5 K S 9 U e X B l I G 1 v Z G l m a c O p L n t Q Y X J 0 I G R l I G x h I H B l c n R l X G 5 k Z S B 0 c m F m a W M g Z G F u c y B s Z S B 0 b 3 R h b F x u Z G U g b O K A m W H D q X J v c G 9 y d 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O D U l M j A o U G F n Z S U y M D E y M C k 8 L 0 l 0 Z W 1 Q Y X R o P j w v S X R l b U x v Y 2 F 0 a W 9 u P j x T d G F i b G V F b n R y a W V z P j x F b n R y e S B U e X B l P S J B Z G R l Z F R v R G F 0 Y U 1 v Z G V s I i B W Y W x 1 Z T 0 i b D E i L z 4 8 R W 5 0 c n k g V H l w Z T 0 i Q n V m Z m V y T m V 4 d F J l Z n J l c 2 g i I F Z h b H V l P S J s M S I v P j x F b n R y e S B U e X B l P S J G a W x s Q 2 9 1 b n Q i I F Z h b H V l P S J s M T Y i L z 4 8 R W 5 0 c n k g V H l w Z T 0 i R m l s b E V u Y W J s Z W Q i I F Z h b H V l P S J s M C I v P j x F b n R y e S B U e X B l P S J G a W x s R X J y b 3 J D b 2 R l I i B W Y W x 1 Z T 0 i c 1 V u a 2 5 v d 2 4 i L z 4 8 R W 5 0 c n k g V H l w Z T 0 i R m l s b E V y c m 9 y Q 2 9 1 b n Q i I F Z h b H V l P S J s M C I v P j x F b n R y e S B U e X B l P S J G a W x s T G F z d F V w Z G F 0 Z W Q i I F Z h b H V l P S J k M j A y N S 0 w M S 0 x N l Q x N T o 0 M D o z M S 4 y M D c w N T I 4 W i I v P j x F b n R y e S B U e X B l P S J G a W x s Q 2 9 s d W 1 u V H l w Z X M i I F Z h b H V l P S J z Q m d Z R E J R P T 0 i L z 4 8 R W 5 0 c n k g V H l w Z T 0 i R m l s b E N v b H V t b k 5 h b W V z I i B W Y W x 1 Z T 0 i c 1 s m c X V v d D t B w 6 l y b 3 B v c n Q g M S Z x d W 9 0 O y w m c X V v d D t B w 6 l y b 3 B v c n Q g M i Z x d W 9 0 O y w m c X V v d D t O b 2 1 i c m V c b m R l I H B h c 3 N h Z 2 V y c 1 x u K D I w M T k p J n F 1 b 3 Q 7 L C Z x d W 9 0 O 0 N P 4 o K C I G t 0 I C g y M D E 5 K 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M W Z j N G V m Z m E t N m V i Y y 0 0 Z D U 3 L W F k O D c t N G Q 5 M j F j M W V k M z Q 2 I i 8 + P E V u d H J 5 I F R 5 c G U 9 I l J l b G F 0 a W 9 u c 2 h p c E l u Z m 9 D b 2 5 0 Y W l u Z X I i I F Z h b H V l P S J z e y Z x d W 9 0 O 2 N v b H V t b k N v d W 5 0 J n F 1 b 3 Q 7 O j Q s J n F 1 b 3 Q 7 a 2 V 5 Q 2 9 s d W 1 u T m F t Z X M m c X V v d D s 6 W 1 0 s J n F 1 b 3 Q 7 c X V l c n l S Z W x h d G l v b n N o a X B z J n F 1 b 3 Q 7 O l t d L C Z x d W 9 0 O 2 N v b H V t b k l k Z W 5 0 a X R p Z X M m c X V v d D s 6 W y Z x d W 9 0 O 1 N l Y 3 R p b 2 4 x L 1 R h Y m x l M D g 1 I C h Q Y W d l I D E y M C k v V H l w Z S B t b 2 R p Z m n D q S 5 7 Q c O p c m 9 w b 3 J 0 I D E s M H 0 m c X V v d D s s J n F 1 b 3 Q 7 U 2 V j d G l v b j E v V G F i b G U w O D U g K F B h Z 2 U g M T I w K S 9 U e X B l I G 1 v Z G l m a c O p L n t B w 6 l y b 3 B v c n Q g M i w x f S Z x d W 9 0 O y w m c X V v d D t T Z W N 0 a W 9 u M S 9 U Y W J s Z T A 4 N S A o U G F n Z S A x M j A p L 1 R 5 c G U g b W 9 k a W Z p w 6 k u e 0 5 v b W J y Z V x u Z G U g c G F z c 2 F n Z X J z X G 4 o M j A x O S k s M n 0 m c X V v d D s s J n F 1 b 3 Q 7 U 2 V j d G l v b j E v V G F i b G U w O D U g K F B h Z 2 U g M T I w K S 9 U e X B l I G 1 v Z G l m a c O p L n t D T + K C g i B r d C A o M j A x O S k s M 3 0 m c X V v d D t d L C Z x d W 9 0 O 0 N v b H V t b k N v d W 5 0 J n F 1 b 3 Q 7 O j Q s J n F 1 b 3 Q 7 S 2 V 5 Q 2 9 s d W 1 u T m F t Z X M m c X V v d D s 6 W 1 0 s J n F 1 b 3 Q 7 Q 2 9 s d W 1 u S W R l b n R p d G l l c y Z x d W 9 0 O z p b J n F 1 b 3 Q 7 U 2 V j d G l v b j E v V G F i b G U w O D U g K F B h Z 2 U g M T I w K S 9 U e X B l I G 1 v Z G l m a c O p L n t B w 6 l y b 3 B v c n Q g M S w w f S Z x d W 9 0 O y w m c X V v d D t T Z W N 0 a W 9 u M S 9 U Y W J s Z T A 4 N S A o U G F n Z S A x M j A p L 1 R 5 c G U g b W 9 k a W Z p w 6 k u e 0 H D q X J v c G 9 y d C A y L D F 9 J n F 1 b 3 Q 7 L C Z x d W 9 0 O 1 N l Y 3 R p b 2 4 x L 1 R h Y m x l M D g 1 I C h Q Y W d l I D E y M C k v V H l w Z S B t b 2 R p Z m n D q S 5 7 T m 9 t Y n J l X G 5 k Z S B w Y X N z Y W d l c n N c b i g y M D E 5 K S w y f S Z x d W 9 0 O y w m c X V v d D t T Z W N 0 a W 9 u M S 9 U Y W J s Z T A 4 N S A o U G F n Z S A x M j A p L 1 R 5 c G U g b W 9 k a W Z p w 6 k u e 0 N P 4 o K C I G t 0 I C g y M D E 5 K 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O D Y l M j A o U G F n Z S U y M D E y M S k 8 L 0 l 0 Z W 1 Q Y X R o P j w v S X R l b U x v Y 2 F 0 a W 9 u P j x T d G F i b G V F b n R y a W V z P j x F b n R y e S B U e X B l P S J B Z G R l Z F R v R G F 0 Y U 1 v Z G V s I i B W Y W x 1 Z T 0 i b D E i L z 4 8 R W 5 0 c n k g V H l w Z T 0 i Q n V m Z m V y T m V 4 d F J l Z n J l c 2 g i I F Z h b H V l P S J s M S I v P j x F b n R y e S B U e X B l P S J G a W x s Q 2 9 1 b n Q i I F Z h b H V l P S J s M T M i L z 4 8 R W 5 0 c n k g V H l w Z T 0 i R m l s b E V u Y W J s Z W Q i I F Z h b H V l P S J s M C I v P j x F b n R y e S B U e X B l P S J G a W x s R X J y b 3 J D b 2 R l I i B W Y W x 1 Z T 0 i c 1 V u a 2 5 v d 2 4 i L z 4 8 R W 5 0 c n k g V H l w Z T 0 i R m l s b E V y c m 9 y Q 2 9 1 b n Q i I F Z h b H V l P S J s M C I v P j x F b n R y e S B U e X B l P S J G a W x s T G F z d F V w Z G F 0 Z W Q i I F Z h b H V l P S J k M j A y N S 0 w M S 0 x N l Q x N T o 0 M D o z M S 4 y M T U w O T U 5 W i I v P j x F b n R y e S B U e X B l P S J G a W x s Q 2 9 s d W 1 u V H l w Z X M i I F Z h b H V l P S J z Q m d Z R E J R P T 0 i L z 4 8 R W 5 0 c n k g V H l w Z T 0 i R m l s b E N v b H V t b k 5 h b W V z I i B W Y W x 1 Z T 0 i c 1 s m c X V v d D t B w 6 l y b 3 B v c n Q g M S Z x d W 9 0 O y w m c X V v d D t B w 6 l y b 3 B v c n Q g M i Z x d W 9 0 O y w m c X V v d D t O b 2 1 i c m V c b m R l I H B h c 3 N h Z 2 V y c 1 x u K D I w M T k p J n F 1 b 3 Q 7 L C Z x d W 9 0 O 0 N P 4 o K C I G t 0 I C g y M D E 5 K S Z x d W 9 0 O 1 0 i L z 4 8 R W 5 0 c n k g V H l w Z T 0 i R m l s b G V k Q 2 9 t c G x l d G V S Z X N 1 b H R U b 1 d v c m t z a G V l d C I g V m F s d W U 9 I m w w I i 8 + P E V u d H J 5 I F R 5 c G U 9 I k Z p b G x T d G F 0 d X M i I F Z h b H V l P S J z Q 2 9 t c G x l d G U i L z 4 8 R W 5 0 c n k g V H l w Z T 0 i R m l s b F R v R G F 0 Y U 1 v Z G V s R W 5 h Y m x l Z C I g V m F s d W U 9 I m w x I i 8 + P E V u d H J 5 I F R 5 c G U 9 I k l z U H J p d m F 0 Z S I g V m F s d W U 9 I m w w I i 8 + P E V u d H J 5 I F R 5 c G U 9 I l F 1 Z X J 5 S U Q i I F Z h b H V l P S J z N m J h Z D k 5 M W E t Y j F l N C 0 0 Y T g x L W J m N j g t O T d l O T Q y M W Y 1 N z F h I i 8 + P E V u d H J 5 I F R 5 c G U 9 I l J l b G F 0 a W 9 u c 2 h p c E l u Z m 9 D b 2 5 0 Y W l u Z X I i I F Z h b H V l P S J z e y Z x d W 9 0 O 2 N v b H V t b k N v d W 5 0 J n F 1 b 3 Q 7 O j Q s J n F 1 b 3 Q 7 a 2 V 5 Q 2 9 s d W 1 u T m F t Z X M m c X V v d D s 6 W 1 0 s J n F 1 b 3 Q 7 c X V l c n l S Z W x h d G l v b n N o a X B z J n F 1 b 3 Q 7 O l t d L C Z x d W 9 0 O 2 N v b H V t b k l k Z W 5 0 a X R p Z X M m c X V v d D s 6 W y Z x d W 9 0 O 1 N l Y 3 R p b 2 4 x L 1 R h Y m x l M D g 2 I C h Q Y W d l I D E y M S k v V H l w Z S B t b 2 R p Z m n D q S 5 7 Q c O p c m 9 w b 3 J 0 I D E s M H 0 m c X V v d D s s J n F 1 b 3 Q 7 U 2 V j d G l v b j E v V G F i b G U w O D Y g K F B h Z 2 U g M T I x K S 9 U e X B l I G 1 v Z G l m a c O p L n t B w 6 l y b 3 B v c n Q g M i w x f S Z x d W 9 0 O y w m c X V v d D t T Z W N 0 a W 9 u M S 9 U Y W J s Z T A 4 N i A o U G F n Z S A x M j E p L 1 R 5 c G U g b W 9 k a W Z p w 6 k u e 0 5 v b W J y Z V x u Z G U g c G F z c 2 F n Z X J z X G 4 o M j A x O S k s M n 0 m c X V v d D s s J n F 1 b 3 Q 7 U 2 V j d G l v b j E v V G F i b G U w O D Y g K F B h Z 2 U g M T I x K S 9 U e X B l I G 1 v Z G l m a c O p L n t D T + K C g i B r d C A o M j A x O S k s M 3 0 m c X V v d D t d L C Z x d W 9 0 O 0 N v b H V t b k N v d W 5 0 J n F 1 b 3 Q 7 O j Q s J n F 1 b 3 Q 7 S 2 V 5 Q 2 9 s d W 1 u T m F t Z X M m c X V v d D s 6 W 1 0 s J n F 1 b 3 Q 7 Q 2 9 s d W 1 u S W R l b n R p d G l l c y Z x d W 9 0 O z p b J n F 1 b 3 Q 7 U 2 V j d G l v b j E v V G F i b G U w O D Y g K F B h Z 2 U g M T I x K S 9 U e X B l I G 1 v Z G l m a c O p L n t B w 6 l y b 3 B v c n Q g M S w w f S Z x d W 9 0 O y w m c X V v d D t T Z W N 0 a W 9 u M S 9 U Y W J s Z T A 4 N i A o U G F n Z S A x M j E p L 1 R 5 c G U g b W 9 k a W Z p w 6 k u e 0 H D q X J v c G 9 y d C A y L D F 9 J n F 1 b 3 Q 7 L C Z x d W 9 0 O 1 N l Y 3 R p b 2 4 x L 1 R h Y m x l M D g 2 I C h Q Y W d l I D E y M S k v V H l w Z S B t b 2 R p Z m n D q S 5 7 T m 9 t Y n J l X G 5 k Z S B w Y X N z Y W d l c n N c b i g y M D E 5 K S w y f S Z x d W 9 0 O y w m c X V v d D t T Z W N 0 a W 9 u M S 9 U Y W J s Z T A 4 N i A o U G F n Z S A x M j E p L 1 R 5 c G U g b W 9 k a W Z p w 6 k u e 0 N P 4 o K C I G t 0 I C g y M D E 5 K S 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V G F i b G U w N z Q l M j A o U G F n Z S U y M D k x K T w v S X R l b V B h d G g + P C 9 J d G V t T G 9 j Y X R p b 2 4 + P F N 0 Y W J s Z U V u d H J p Z X M + P E V u d H J 5 I F R 5 c G U 9 I k F k Z G V k V G 9 E Y X R h T W 9 k Z W w i I F Z h b H V l P S J s M S I v P j x F b n R y e S B U e X B l P S J C d W Z m Z X J O Z X h 0 U m V m c m V z a C I g V m F s d W U 9 I m w x I i 8 + P E V u d H J 5 I F R 5 c G U 9 I k Z p b G x D b 3 V u d C I g V m F s d W U 9 I m w 1 I i 8 + P E V u d H J 5 I F R 5 c G U 9 I k Z p b G x F b m F i b G V k I i B W Y W x 1 Z T 0 i b D A i L z 4 8 R W 5 0 c n k g V H l w Z T 0 i R m l s b E V y c m 9 y Q 2 9 k Z S I g V m F s d W U 9 I n N V b m t u b 3 d u I i 8 + P E V u d H J 5 I F R 5 c G U 9 I k Z p b G x F c n J v c k N v d W 5 0 I i B W Y W x 1 Z T 0 i b D A i L z 4 8 R W 5 0 c n k g V H l w Z T 0 i R m l s b E x h c 3 R V c G R h d G V k I i B W Y W x 1 Z T 0 i Z D I w M j U t M D E t M T Z U M T U 6 N T c 6 M j I u M T k 4 O D k 3 N 1 o i L z 4 8 R W 5 0 c n k g V H l w Z T 0 i R m l s b E N v b H V t b l R 5 c G V z I i B W Y W x 1 Z T 0 i c 0 J n V U Z C U V V E I i 8 + P E V u d H J 5 I F R 5 c G U 9 I k Z p b G x D b 2 x 1 b W 5 O Y W 1 l c y I g V m F s d W U 9 I n N b J n F 1 b 3 Q 7 Q 2 9 s d W 1 u M S Z x d W 9 0 O y w m c X V v d D t B w 6 l y b 3 B v c n R z I H B v d X J c b j E w M D A g a 2 1 e e z J 9 J n F 1 b 3 Q 7 L C Z x d W 9 0 O 0 h h Y m l 0 Y W 5 0 c 1 x u c G F y I G H D q X J v c G 9 y d F x u K G 1 p b G x p b 2 5 z K S Z x d W 9 0 O y w m c X V v d D t U b 3 R h b F x u U G F z c 2 F n Z X J z X G 4 o b W l s b G l v b n M p J n F 1 b 3 Q 7 L C Z x d W 9 0 O 1 R v d G F s I H Z p c 2 l 0 Z X V y c 1 x u Z G U g d G 9 1 c m l z b W V c b i h t a W x s a W 9 u c y k m c X V v d D s s J n F 1 b 3 Q 7 U G F z c 2 F n Z X J z X G 5 w Y X I g Y c O p c m 9 w b 3 J 0 X G 5 l b i B t b 3 l l b m 5 l J n F 1 b 3 Q 7 X S I v P j x F b n R y e S B U e X B l P S J G a W x s Z W R D b 2 1 w b G V 0 Z V J l c 3 V s d F R v V 2 9 y a 3 N o Z W V 0 I i B W Y W x 1 Z T 0 i b D A i L z 4 8 R W 5 0 c n k g V H l w Z T 0 i R m l s b F N 0 Y X R 1 c y I g V m F s d W U 9 I n N D b 2 1 w b G V 0 Z S I v P j x F b n R y e S B U e X B l P S J G a W x s V G 9 E Y X R h T W 9 k Z W x F b m F i b G V k I i B W Y W x 1 Z T 0 i b D E i L z 4 8 R W 5 0 c n k g V H l w Z T 0 i S X N Q c m l 2 Y X R l I i B W Y W x 1 Z T 0 i b D A i L z 4 8 R W 5 0 c n k g V H l w Z T 0 i U X V l c n l J R C I g V m F s d W U 9 I n N i Z D U 0 Y T I w O S 0 y N W Z j L T Q 4 N W I t Y m I 2 O C 0 4 M 2 Q 1 Y m M w Y z M 2 Z G Y i L z 4 8 R W 5 0 c n k g V H l w Z T 0 i U m V s Y X R p b 2 5 z a G l w S W 5 m b 0 N v b n R h a W 5 l c i I g V m F s d W U 9 I n N 7 J n F 1 b 3 Q 7 Y 2 9 s d W 1 u Q 2 9 1 b n Q m c X V v d D s 6 N i w m c X V v d D t r Z X l D b 2 x 1 b W 5 O Y W 1 l c y Z x d W 9 0 O z p b X S w m c X V v d D t x d W V y e V J l b G F 0 a W 9 u c 2 h p c H M m c X V v d D s 6 W 1 0 s J n F 1 b 3 Q 7 Y 2 9 s d W 1 u S W R l b n R p d G l l c y Z x d W 9 0 O z p b J n F 1 b 3 Q 7 U 2 V j d G l v b j E v V G F i b G U w N z Q g K F B h Z 2 U g O T E p L 1 R 5 c G U g b W 9 k a W Z p w 6 k u e y w w f S Z x d W 9 0 O y w m c X V v d D t T Z W N 0 a W 9 u M S 9 U Y W J s Z T A 3 N C A o U G F n Z S A 5 M S k v V H l w Z S B t b 2 R p Z m n D q S 5 7 Q c O p c m 9 w b 3 J 0 c y B w b 3 V y X G 4 x M D A w I G t t X n t 7 M n 0 s M X 0 m c X V v d D s s J n F 1 b 3 Q 7 U 2 V j d G l v b j E v V G F i b G U w N z Q g K F B h Z 2 U g O T E p L 1 R 5 c G U g b W 9 k a W Z p w 6 k u e 0 h h Y m l 0 Y W 5 0 c 1 x u c G F y I G H D q X J v c G 9 y d F x u K G 1 p b G x p b 2 5 z K S w y f S Z x d W 9 0 O y w m c X V v d D t T Z W N 0 a W 9 u M S 9 U Y W J s Z T A 3 N C A o U G F n Z S A 5 M S k v V H l w Z S B t b 2 R p Z m n D q S 5 7 V G 9 0 Y W x c b l B h c 3 N h Z 2 V y c 1 x u K G 1 p b G x p b 2 5 z K S w z f S Z x d W 9 0 O y w m c X V v d D t T Z W N 0 a W 9 u M S 9 U Y W J s Z T A 3 N C A o U G F n Z S A 5 M S k v V H l w Z S B t b 2 R p Z m n D q S 5 7 V G 9 0 Y W w g d m l z a X R l d X J z X G 5 k Z S B 0 b 3 V y a X N t Z V x u K G 1 p b G x p b 2 5 z K S w 0 f S Z x d W 9 0 O y w m c X V v d D t T Z W N 0 a W 9 u M S 9 U Y W J s Z T A 3 N C A o U G F n Z S A 5 M S k v V H l w Z S B t b 2 R p Z m n D q S 5 7 U G F z c 2 F n Z X J z X G 5 w Y X I g Y c O p c m 9 w b 3 J 0 X G 5 l b i B t b 3 l l b m 5 l L D V 9 J n F 1 b 3 Q 7 X S w m c X V v d D t D b 2 x 1 b W 5 D b 3 V u d C Z x d W 9 0 O z o 2 L C Z x d W 9 0 O 0 t l e U N v b H V t b k 5 h b W V z J n F 1 b 3 Q 7 O l t d L C Z x d W 9 0 O 0 N v b H V t b k l k Z W 5 0 a X R p Z X M m c X V v d D s 6 W y Z x d W 9 0 O 1 N l Y 3 R p b 2 4 x L 1 R h Y m x l M D c 0 I C h Q Y W d l I D k x K S 9 U e X B l I G 1 v Z G l m a c O p L n s s M H 0 m c X V v d D s s J n F 1 b 3 Q 7 U 2 V j d G l v b j E v V G F i b G U w N z Q g K F B h Z 2 U g O T E p L 1 R 5 c G U g b W 9 k a W Z p w 6 k u e 0 H D q X J v c G 9 y d H M g c G 9 1 c l x u M T A w M C B r b V 5 7 e z J 9 L D F 9 J n F 1 b 3 Q 7 L C Z x d W 9 0 O 1 N l Y 3 R p b 2 4 x L 1 R h Y m x l M D c 0 I C h Q Y W d l I D k x K S 9 U e X B l I G 1 v Z G l m a c O p L n t I Y W J p d G F u d H N c b n B h c i B h w 6 l y b 3 B v c n R c b i h t a W x s a W 9 u c y k s M n 0 m c X V v d D s s J n F 1 b 3 Q 7 U 2 V j d G l v b j E v V G F i b G U w N z Q g K F B h Z 2 U g O T E p L 1 R 5 c G U g b W 9 k a W Z p w 6 k u e 1 R v d G F s X G 5 Q Y X N z Y W d l c n N c b i h t a W x s a W 9 u c y k s M 3 0 m c X V v d D s s J n F 1 b 3 Q 7 U 2 V j d G l v b j E v V G F i b G U w N z Q g K F B h Z 2 U g O T E p L 1 R 5 c G U g b W 9 k a W Z p w 6 k u e 1 R v d G F s I H Z p c 2 l 0 Z X V y c 1 x u Z G U g d G 9 1 c m l z b W V c b i h t a W x s a W 9 u c y k s N H 0 m c X V v d D s s J n F 1 b 3 Q 7 U 2 V j d G l v b j E v V G F i b G U w N z Q g K F B h Z 2 U g O T E p L 1 R 5 c G U g b W 9 k a W Z p w 6 k u e 1 B h c 3 N h Z 2 V y c 1 x u c G F y I G H D q X J v c G 9 y d F x u Z W 4 g b W 9 5 Z W 5 u Z S w 1 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N z M l M j A o U G F n Z S U y M D k x K T w v S X R l b V B h d G g + P C 9 J d G V t T G 9 j Y X R p b 2 4 + P F N 0 Y W J s Z U V u d H J p Z X M + P E V u d H J 5 I F R 5 c G U 9 I k F k Z G V k V G 9 E Y X R h T W 9 k Z W w i I F Z h b H V l P S J s M S I v P j x F b n R y e S B U e X B l P S J C d W Z m Z X J O Z X h 0 U m V m c m V z a C I g V m F s d W U 9 I m w x I i 8 + P E V u d H J 5 I F R 5 c G U 9 I k Z p b G x D b 3 V u d C I g V m F s d W U 9 I m w 1 I i 8 + P E V u d H J 5 I F R 5 c G U 9 I k Z p b G x F b m F i b G V k I i B W Y W x 1 Z T 0 i b D A i L z 4 8 R W 5 0 c n k g V H l w Z T 0 i R m l s b E V y c m 9 y Q 2 9 k Z S I g V m F s d W U 9 I n N V b m t u b 3 d u I i 8 + P E V u d H J 5 I F R 5 c G U 9 I k Z p b G x F c n J v c k N v d W 5 0 I i B W Y W x 1 Z T 0 i b D A i L z 4 8 R W 5 0 c n k g V H l w Z T 0 i R m l s b E x h c 3 R V c G R h d G V k I i B W Y W x 1 Z T 0 i Z D I w M j U t M D E t M T Z U M T U 6 N T c 6 M j I u M j A 3 O D c 5 N 1 o i L z 4 8 R W 5 0 c n k g V H l w Z T 0 i R m l s b E N v b H V t b l R 5 c G V z I i B W Y W x 1 Z T 0 i c 0 J n T U R B d 0 1 E Q X c 9 P S I v P j x F b n R y e S B U e X B l P S J G a W x s Q 2 9 s d W 1 u T m F t Z X M i I F Z h b H V l P S J z W y Z x d W 9 0 O 0 N v b H V t b j E m c X V v d D s s J n F 1 b 3 Q 7 Q c O p c m 9 w b 3 J 0 c 1 x u Z W 5 0 c m U g M S A w M D B c b m V 0 I D E w I D A w M F x u c G F z c 2 F n Z X J z J n F 1 b 3 Q 7 L C Z x d W 9 0 O 0 H D q X J v c G 9 y d H N c b m V u d H J l X G 4 x M C A w M D B c b m V 0 I D I w M C A w M D B c b n B h c 3 N h Z 2 V y c y Z x d W 9 0 O y w m c X V v d D t B w 6 l y b 3 B v c n R z X G 5 l b n R y Z V x u M j A w I D A w M C B l d F x u M S B t a W x s a W 9 u I G R l X G 5 w Y X N z Y W d l c n M m c X V v d D s s J n F 1 b 3 Q 7 Q c O p c m 9 w b 3 J 0 c 1 x u Z W 5 0 c m U g M S B l d F x u M y B t a W x s a W 9 u c y B k Z V x u c G F z c 2 F n Z X J z J n F 1 b 3 Q 7 L C Z x d W 9 0 O 0 H D q X J v c G 9 y d H N c b m R l I H B s d X M g Z G V c b j M g b W l s b G l v b n M g Z G V c b n B h c 3 N h Z 2 V y c y Z x d W 9 0 O y w m c X V v d D t U b 3 R h b C B h w 6 l y b 3 B v c n R z X G 5 k Z S B w b H V z I G R l X G 4 x I D A w M C B w Y X N z Y W d l c n M 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z g 5 Z j Q w Z D U z L T F k Y W I t N D U 3 Y i 0 5 Y W Z l L T N l O T U y Z j g x N j E 3 Y S I v P j x F b n R y e S B U e X B l P S J S Z W x h d G l v b n N o a X B J b m Z v Q 2 9 u d G F p b m V y I i B W Y W x 1 Z T 0 i c 3 s m c X V v d D t j b 2 x 1 b W 5 D b 3 V u d C Z x d W 9 0 O z o 3 L C Z x d W 9 0 O 2 t l e U N v b H V t b k 5 h b W V z J n F 1 b 3 Q 7 O l t d L C Z x d W 9 0 O 3 F 1 Z X J 5 U m V s Y X R p b 2 5 z a G l w c y Z x d W 9 0 O z p b X S w m c X V v d D t j b 2 x 1 b W 5 J Z G V u d G l 0 a W V z J n F 1 b 3 Q 7 O l s m c X V v d D t T Z W N 0 a W 9 u M S 9 U Y W J s Z T A 3 M y A o U G F n Z S A 5 M S k v V H l w Z S B t b 2 R p Z m n D q S 5 7 L D B 9 J n F 1 b 3 Q 7 L C Z x d W 9 0 O 1 N l Y 3 R p b 2 4 x L 1 R h Y m x l M D c z I C h Q Y W d l I D k x K S 9 U e X B l I G 1 v Z G l m a c O p L n t B w 6 l y b 3 B v c n R z X G 5 l b n R y Z S A x I D A w M F x u Z X Q g M T A g M D A w X G 5 w Y X N z Y W d l c n M s M X 0 m c X V v d D s s J n F 1 b 3 Q 7 U 2 V j d G l v b j E v V G F i b G U w N z M g K F B h Z 2 U g O T E p L 1 R 5 c G U g b W 9 k a W Z p w 6 k u e 0 H D q X J v c G 9 y d H N c b m V u d H J l X G 4 x M C A w M D B c b m V 0 I D I w M C A w M D B c b n B h c 3 N h Z 2 V y c y w y f S Z x d W 9 0 O y w m c X V v d D t T Z W N 0 a W 9 u M S 9 U Y W J s Z T A 3 M y A o U G F n Z S A 5 M S k v V H l w Z S B t b 2 R p Z m n D q S 5 7 Q c O p c m 9 w b 3 J 0 c 1 x u Z W 5 0 c m V c b j I w M C A w M D A g Z X R c b j E g b W l s b G l v b i B k Z V x u c G F z c 2 F n Z X J z L D N 9 J n F 1 b 3 Q 7 L C Z x d W 9 0 O 1 N l Y 3 R p b 2 4 x L 1 R h Y m x l M D c z I C h Q Y W d l I D k x K S 9 U e X B l I G 1 v Z G l m a c O p L n t B w 6 l y b 3 B v c n R z X G 5 l b n R y Z S A x I G V 0 X G 4 z I G 1 p b G x p b 2 5 z I G R l X G 5 w Y X N z Y W d l c n M s N H 0 m c X V v d D s s J n F 1 b 3 Q 7 U 2 V j d G l v b j E v V G F i b G U w N z M g K F B h Z 2 U g O T E p L 1 R 5 c G U g b W 9 k a W Z p w 6 k u e 0 H D q X J v c G 9 y d H N c b m R l I H B s d X M g Z G V c b j M g b W l s b G l v b n M g Z G V c b n B h c 3 N h Z 2 V y c y w 1 f S Z x d W 9 0 O y w m c X V v d D t T Z W N 0 a W 9 u M S 9 U Y W J s Z T A 3 M y A o U G F n Z S A 5 M S k v V H l w Z S B t b 2 R p Z m n D q S 5 7 V G 9 0 Y W w g Y c O p c m 9 w b 3 J 0 c 1 x u Z G U g c G x 1 c y B k Z V x u M S A w M D A g c G F z c 2 F n Z X J z L D Z 9 J n F 1 b 3 Q 7 X S w m c X V v d D t D b 2 x 1 b W 5 D b 3 V u d C Z x d W 9 0 O z o 3 L C Z x d W 9 0 O 0 t l e U N v b H V t b k 5 h b W V z J n F 1 b 3 Q 7 O l t d L C Z x d W 9 0 O 0 N v b H V t b k l k Z W 5 0 a X R p Z X M m c X V v d D s 6 W y Z x d W 9 0 O 1 N l Y 3 R p b 2 4 x L 1 R h Y m x l M D c z I C h Q Y W d l I D k x K S 9 U e X B l I G 1 v Z G l m a c O p L n s s M H 0 m c X V v d D s s J n F 1 b 3 Q 7 U 2 V j d G l v b j E v V G F i b G U w N z M g K F B h Z 2 U g O T E p L 1 R 5 c G U g b W 9 k a W Z p w 6 k u e 0 H D q X J v c G 9 y d H N c b m V u d H J l I D E g M D A w X G 5 l d C A x M C A w M D B c b n B h c 3 N h Z 2 V y c y w x f S Z x d W 9 0 O y w m c X V v d D t T Z W N 0 a W 9 u M S 9 U Y W J s Z T A 3 M y A o U G F n Z S A 5 M S k v V H l w Z S B t b 2 R p Z m n D q S 5 7 Q c O p c m 9 w b 3 J 0 c 1 x u Z W 5 0 c m V c b j E w I D A w M F x u Z X Q g M j A w I D A w M F x u c G F z c 2 F n Z X J z L D J 9 J n F 1 b 3 Q 7 L C Z x d W 9 0 O 1 N l Y 3 R p b 2 4 x L 1 R h Y m x l M D c z I C h Q Y W d l I D k x K S 9 U e X B l I G 1 v Z G l m a c O p L n t B w 6 l y b 3 B v c n R z X G 5 l b n R y Z V x u M j A w I D A w M C B l d F x u M S B t a W x s a W 9 u I G R l X G 5 w Y X N z Y W d l c n M s M 3 0 m c X V v d D s s J n F 1 b 3 Q 7 U 2 V j d G l v b j E v V G F i b G U w N z M g K F B h Z 2 U g O T E p L 1 R 5 c G U g b W 9 k a W Z p w 6 k u e 0 H D q X J v c G 9 y d H N c b m V u d H J l I D E g Z X R c b j M g b W l s b G l v b n M g Z G V c b n B h c 3 N h Z 2 V y c y w 0 f S Z x d W 9 0 O y w m c X V v d D t T Z W N 0 a W 9 u M S 9 U Y W J s Z T A 3 M y A o U G F n Z S A 5 M S k v V H l w Z S B t b 2 R p Z m n D q S 5 7 Q c O p c m 9 w b 3 J 0 c 1 x u Z G U g c G x 1 c y B k Z V x u M y B t a W x s a W 9 u c y B k Z V x u c G F z c 2 F n Z X J z L D V 9 J n F 1 b 3 Q 7 L C Z x d W 9 0 O 1 N l Y 3 R p b 2 4 x L 1 R h Y m x l M D c z I C h Q Y W d l I D k x K S 9 U e X B l I G 1 v Z G l m a c O p L n t U b 3 R h b C B h w 6 l y b 3 B v c n R z X G 5 k Z S B w b H V z I G R l X G 4 x I D A w M C B w Y X N z Y W d l c n M 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c 1 J T I w K F B h Z 2 U l M j A 5 M i k 8 L 0 l 0 Z W 1 Q Y X R o P j w v S X R l b U x v Y 2 F 0 a W 9 u P j x T d G F i b G V F b n R y a W V z P j x F b n R y e S B U e X B l P S J B Z G R l Z F R v R G F 0 Y U 1 v Z G V s I i B W Y W x 1 Z T 0 i b D E i L z 4 8 R W 5 0 c n k g V H l w Z T 0 i Q n V m Z m V y T m V 4 d F J l Z n J l c 2 g i I F Z h b H V l P S J s M S I v P j x F b n R y e S B U e X B l P S J G a W x s Q 2 9 1 b n Q i I F Z h b H V l P S J s N S I v P j x F b n R y e S B U e X B l P S J G a W x s R W 5 h Y m x l Z C I g V m F s d W U 9 I m w w I i 8 + P E V u d H J 5 I F R 5 c G U 9 I k Z p b G x F c n J v c k N v Z G U i I F Z h b H V l P S J z V W 5 r b m 9 3 b i I v P j x F b n R y e S B U e X B l P S J G a W x s R X J y b 3 J D b 3 V u d C I g V m F s d W U 9 I m w w I i 8 + P E V u d H J 5 I F R 5 c G U 9 I k Z p b G x M Y X N 0 V X B k Y X R l Z C I g V m F s d W U 9 I m Q y M D I 1 L T A x L T E 2 V D E 1 O j U 3 O j I y L j I x N T g 1 N D h a I i 8 + P E V u d H J 5 I F R 5 c G U 9 I k Z p b G x D b 2 x 1 b W 5 U e X B l c y I g V m F s d W U 9 I n N C Z 1 V G Q l E 9 P S I v P j x F b n R y e S B U e X B l P S J G a W x s Q 2 9 s d W 1 u T m F t Z X M i I F Z h b H V l P S J z W y Z x d W 9 0 O 0 N v b H V t b j E m c X V v d D s s J n F 1 b 3 Q 7 Q c O p c m 9 w b 3 J 0 c 1 x u c G F y I G 1 p b G x p b 2 5 c b m R l I H R v d X J p c 3 R l c y Z x d W 9 0 O y w m c X V v d D t B w 6 l y b 3 B v c n R z X G 5 w Y X I g b W l s b G l v b l x u Z F x 1 M D A y N 2 h h Y m l 0 Y W 5 0 J n F 1 b 3 Q 7 L C Z x d W 9 0 O 0 H D q X J v c G 9 y d H N c b m l u d G V y b c O p Z G l h a X J l c 1 x u c G F y I G 1 p b G x p b 2 4 g Z F x 1 M D A y N 2 h h Y m l 0 Y W 5 0 c 1 x u K G V u d H J l I D E w I D A w M C B l d C A z I E 0 g Z G V c b n B h e C k 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z I 1 M m M 2 M j Y 1 L W V i Z T Q t N D M x Z C 1 i N m F i L W J j O T I 2 O T g y Y j E w Z i I v P j x F b n R y e S B U e X B l P S J S Z W x h d G l v b n N o a X B J b m Z v Q 2 9 u d G F p b m V y I i B W Y W x 1 Z T 0 i c 3 s m c X V v d D t j b 2 x 1 b W 5 D b 3 V u d C Z x d W 9 0 O z o 0 L C Z x d W 9 0 O 2 t l e U N v b H V t b k 5 h b W V z J n F 1 b 3 Q 7 O l t d L C Z x d W 9 0 O 3 F 1 Z X J 5 U m V s Y X R p b 2 5 z a G l w c y Z x d W 9 0 O z p b X S w m c X V v d D t j b 2 x 1 b W 5 J Z G V u d G l 0 a W V z J n F 1 b 3 Q 7 O l s m c X V v d D t T Z W N 0 a W 9 u M S 9 U Y W J s Z T A 3 N S A o U G F n Z S A 5 M i k v V H l w Z S B t b 2 R p Z m n D q S 5 7 L D B 9 J n F 1 b 3 Q 7 L C Z x d W 9 0 O 1 N l Y 3 R p b 2 4 x L 1 R h Y m x l M D c 1 I C h Q Y W d l I D k y K S 9 U e X B l I G 1 v Z G l m a c O p L n t B w 6 l y b 3 B v c n R z X G 5 w Y X I g b W l s b G l v b l x u Z G U g d G 9 1 c m l z d G V z L D F 9 J n F 1 b 3 Q 7 L C Z x d W 9 0 O 1 N l Y 3 R p b 2 4 x L 1 R h Y m x l M D c 1 I C h Q Y W d l I D k y K S 9 U e X B l I G 1 v Z G l m a c O p L n t B w 6 l y b 3 B v c n R z X G 5 w Y X I g b W l s b G l v b l x u Z F x 1 M D A y N 2 h h Y m l 0 Y W 5 0 L D J 9 J n F 1 b 3 Q 7 L C Z x d W 9 0 O 1 N l Y 3 R p b 2 4 x L 1 R h Y m x l M D c 1 I C h Q Y W d l I D k y K S 9 U e X B l I G 1 v Z G l m a c O p L n t B w 6 l y b 3 B v c n R z X G 5 p b n R l c m 3 D q W R p Y W l y Z X N c b n B h c i B t a W x s a W 9 u I G R c d T A w M j d o Y W J p d G F u d H N c b i h l b n R y Z S A x M C A w M D A g Z X Q g M y B N I G R l X G 5 w Y X g p L D N 9 J n F 1 b 3 Q 7 X S w m c X V v d D t D b 2 x 1 b W 5 D b 3 V u d C Z x d W 9 0 O z o 0 L C Z x d W 9 0 O 0 t l e U N v b H V t b k 5 h b W V z J n F 1 b 3 Q 7 O l t d L C Z x d W 9 0 O 0 N v b H V t b k l k Z W 5 0 a X R p Z X M m c X V v d D s 6 W y Z x d W 9 0 O 1 N l Y 3 R p b 2 4 x L 1 R h Y m x l M D c 1 I C h Q Y W d l I D k y K S 9 U e X B l I G 1 v Z G l m a c O p L n s s M H 0 m c X V v d D s s J n F 1 b 3 Q 7 U 2 V j d G l v b j E v V G F i b G U w N z U g K F B h Z 2 U g O T I p L 1 R 5 c G U g b W 9 k a W Z p w 6 k u e 0 H D q X J v c G 9 y d H N c b n B h c i B t a W x s a W 9 u X G 5 k Z S B 0 b 3 V y a X N 0 Z X M s M X 0 m c X V v d D s s J n F 1 b 3 Q 7 U 2 V j d G l v b j E v V G F i b G U w N z U g K F B h Z 2 U g O T I p L 1 R 5 c G U g b W 9 k a W Z p w 6 k u e 0 H D q X J v c G 9 y d H N c b n B h c i B t a W x s a W 9 u X G 5 k X H U w M D I 3 a G F i a X R h b n Q s M n 0 m c X V v d D s s J n F 1 b 3 Q 7 U 2 V j d G l v b j E v V G F i b G U w N z U g K F B h Z 2 U g O T I p L 1 R 5 c G U g b W 9 k a W Z p w 6 k u e 0 H D q X J v c G 9 y d H N c b m l u d G V y b c O p Z G l h a X J l c 1 x u c G F y I G 1 p b G x p b 2 4 g Z F x 1 M D A y N 2 h h Y m l 0 Y W 5 0 c 1 x u K G V u d H J l I D E w I D A w M C B l d C A z I E 0 g Z G V c b n B h e C k 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j Q 4 J T I w K F B h Z 2 U l M j A y N z Y p P C 9 J d G V t U G F 0 a D 4 8 L 0 l 0 Z W 1 M b 2 N h d G l v b j 4 8 U 3 R h Y m x l R W 5 0 c m l l c z 4 8 R W 5 0 c n k g V H l w Z T 0 i Q W R k Z W R U b 0 R h d G F N b 2 R l b C I g V m F s d W U 9 I m w w I i 8 + P E V u d H J 5 I F R 5 c G U 9 I k J 1 Z m Z l c k 5 l e H R S Z W Z y Z X N o I i B W Y W x 1 Z T 0 i b D E i L z 4 8 R W 5 0 c n k g V H l w Z T 0 i R m l s b E N v d W 5 0 I i B W Y W x 1 Z T 0 i b D U i L z 4 8 R W 5 0 c n k g V H l w Z T 0 i R m l s b E V u Y W J s Z W Q i I F Z h b H V l P S J s M C I v P j x F b n R y e S B U e X B l P S J G a W x s R X J y b 3 J D b 2 R l I i B W Y W x 1 Z T 0 i c 1 V u a 2 5 v d 2 4 i L z 4 8 R W 5 0 c n k g V H l w Z T 0 i R m l s b E V y c m 9 y Q 2 9 1 b n Q i I F Z h b H V l P S J s M C I v P j x F b n R y e S B U e X B l P S J G a W x s T G F z d F V w Z G F 0 Z W Q i I F Z h b H V l P S J k M j A y N S 0 w M i 0 w N F Q x N D o w O D o x M S 4 5 N z M 2 M D I 0 W i I v P j x F b n R y e S B U e X B l P S J G a W x s Q 2 9 s d W 1 u V H l w Z X M i I F Z h b H V l P S J z Q m d N R 0 J n P T 0 i L z 4 8 R W 5 0 c n k g V H l w Z T 0 i R m l s b E N v b H V t b k 5 h b W V z I i B W Y W x 1 Z T 0 i c 1 s m c X V v d D t D b 2 x s Z W N 0 a X Z p d M O p J n F 1 b 3 Q 7 L C Z x d W 9 0 O 0 T D q X B l b n N l c y B k 4 o C Z a W 5 2 Z X N 0 a X N z Z W 1 l b n Q g K E 3 i g q w p J n F 1 b 3 Q 7 L C Z x d W 9 0 O 1 N 1 c m Z h Y 2 V z I C h N b c K y K S Z x d W 9 0 O y w m c X V v d D t E w 6 l w Z W 5 z Z X M g Z W 4 g 4 o K s L 2 3 C s 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D Y 2 M D d k O W M t Y m R k O C 0 0 N 2 V l L T k x Z D g t M m U 2 M W M w M j R i O G V h I i 8 + P E V u d H J 5 I F R 5 c G U 9 I l J l b G F 0 a W 9 u c 2 h p c E l u Z m 9 D b 2 5 0 Y W l u Z X I i I F Z h b H V l P S J z e y Z x d W 9 0 O 2 N v b H V t b k N v d W 5 0 J n F 1 b 3 Q 7 O j Q s J n F 1 b 3 Q 7 a 2 V 5 Q 2 9 s d W 1 u T m F t Z X M m c X V v d D s 6 W 1 0 s J n F 1 b 3 Q 7 c X V l c n l S Z W x h d G l v b n N o a X B z J n F 1 b 3 Q 7 O l t d L C Z x d W 9 0 O 2 N v b H V t b k l k Z W 5 0 a X R p Z X M m c X V v d D s 6 W y Z x d W 9 0 O 1 N l Y 3 R p b 2 4 x L 1 R h Y m x l M j Q 4 I C h Q Y W d l I D I 3 N i k v Q X V 0 b 1 J l b W 9 2 Z W R D b 2 x 1 b W 5 z M S 5 7 Q 2 9 s b G V j d G l 2 a X T D q S w w f S Z x d W 9 0 O y w m c X V v d D t T Z W N 0 a W 9 u M S 9 U Y W J s Z T I 0 O C A o U G F n Z S A y N z Y p L 0 F 1 d G 9 S Z W 1 v d m V k Q 2 9 s d W 1 u c z E u e 0 T D q X B l b n N l c y B k 4 o C Z a W 5 2 Z X N 0 a X N z Z W 1 l b n Q g K E 3 i g q w p L D F 9 J n F 1 b 3 Q 7 L C Z x d W 9 0 O 1 N l Y 3 R p b 2 4 x L 1 R h Y m x l M j Q 4 I C h Q Y W d l I D I 3 N i k v Q X V 0 b 1 J l b W 9 2 Z W R D b 2 x 1 b W 5 z M S 5 7 U 3 V y Z m F j Z X M g K E 1 t w r I p L D J 9 J n F 1 b 3 Q 7 L C Z x d W 9 0 O 1 N l Y 3 R p b 2 4 x L 1 R h Y m x l M j Q 4 I C h Q Y W d l I D I 3 N i k v Q X V 0 b 1 J l b W 9 2 Z W R D b 2 x 1 b W 5 z M S 5 7 R M O p c G V u c 2 V z I G V u I O K C r C 9 t w r I s M 3 0 m c X V v d D t d L C Z x d W 9 0 O 0 N v b H V t b k N v d W 5 0 J n F 1 b 3 Q 7 O j Q s J n F 1 b 3 Q 7 S 2 V 5 Q 2 9 s d W 1 u T m F t Z X M m c X V v d D s 6 W 1 0 s J n F 1 b 3 Q 7 Q 2 9 s d W 1 u S W R l b n R p d G l l c y Z x d W 9 0 O z p b J n F 1 b 3 Q 7 U 2 V j d G l v b j E v V G F i b G U y N D g g K F B h Z 2 U g M j c 2 K S 9 B d X R v U m V t b 3 Z l Z E N v b H V t b n M x L n t D b 2 x s Z W N 0 a X Z p d M O p L D B 9 J n F 1 b 3 Q 7 L C Z x d W 9 0 O 1 N l Y 3 R p b 2 4 x L 1 R h Y m x l M j Q 4 I C h Q Y W d l I D I 3 N i k v Q X V 0 b 1 J l b W 9 2 Z W R D b 2 x 1 b W 5 z M S 5 7 R M O p c G V u c 2 V z I G T i g J l p b n Z l c 3 R p c 3 N l b W V u d C A o T e K C r C k s M X 0 m c X V v d D s s J n F 1 b 3 Q 7 U 2 V j d G l v b j E v V G F i b G U y N D g g K F B h Z 2 U g M j c 2 K S 9 B d X R v U m V t b 3 Z l Z E N v b H V t b n M x L n t T d X J m Y W N l c y A o T W 3 C s i k s M n 0 m c X V v d D s s J n F 1 b 3 Q 7 U 2 V j d G l v b j E v V G F i b G U y N D g g K F B h Z 2 U g M j c 2 K S 9 B d X R v U m V t b 3 Z l Z E N v b H V t b n M x L n t E w 6 l w Z W 5 z Z X M g Z W 4 g 4 o K s L 2 3 C s i w z 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y N D g l M j A o U G F n Z S U y M D I 3 N i k l M j A o M 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y L T A 0 V D E 0 O j A 4 O j E x L j k 3 M z Y w M j R a I i 8 + P E V u d H J 5 I F R 5 c G U 9 I k Z p b G x D b 2 x 1 b W 5 U e X B l c y I g V m F s d W U 9 I n N C Z 0 1 H Q m c 9 P S I v P j x F b n R y e S B U e X B l P S J G a W x s Q 2 9 s d W 1 u T m F t Z X M i I F Z h b H V l P S J z W y Z x d W 9 0 O 0 N v b G x l Y 3 R p d m l 0 w 6 k m c X V v d D s s J n F 1 b 3 Q 7 R M O p c G V u c 2 V z I G T i g J l p b n Z l c 3 R p c 3 N l b W V u d C A o T e K C r C k m c X V v d D s s J n F 1 b 3 Q 7 U 3 V y Z m F j Z X M g K E 1 t w r I p J n F 1 b 3 Q 7 L C Z x d W 9 0 O 0 T D q X B l b n N l c y B l b i D i g q w v b c K 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3 N D h l N D k 4 N C 0 5 Z j F j L T Q 5 O D Y t Y T A y Z i 0 5 Y z I z M G I w N j Q 1 O D U i L z 4 8 R W 5 0 c n k g V H l w Z T 0 i U m V s Y X R p b 2 5 z a G l w S W 5 m b 0 N v b n R h a W 5 l c i I g V m F s d W U 9 I n N 7 J n F 1 b 3 Q 7 Y 2 9 s d W 1 u Q 2 9 1 b n Q m c X V v d D s 6 N C w m c X V v d D t r Z X l D b 2 x 1 b W 5 O Y W 1 l c y Z x d W 9 0 O z p b X S w m c X V v d D t x d W V y e V J l b G F 0 a W 9 u c 2 h p c H M m c X V v d D s 6 W 1 0 s J n F 1 b 3 Q 7 Y 2 9 s d W 1 u S W R l b n R p d G l l c y Z x d W 9 0 O z p b J n F 1 b 3 Q 7 U 2 V j d G l v b j E v V G F i b G U y N D g g K F B h Z 2 U g M j c 2 K S 9 B d X R v U m V t b 3 Z l Z E N v b H V t b n M x L n t D b 2 x s Z W N 0 a X Z p d M O p L D B 9 J n F 1 b 3 Q 7 L C Z x d W 9 0 O 1 N l Y 3 R p b 2 4 x L 1 R h Y m x l M j Q 4 I C h Q Y W d l I D I 3 N i k v Q X V 0 b 1 J l b W 9 2 Z W R D b 2 x 1 b W 5 z M S 5 7 R M O p c G V u c 2 V z I G T i g J l p b n Z l c 3 R p c 3 N l b W V u d C A o T e K C r C k s M X 0 m c X V v d D s s J n F 1 b 3 Q 7 U 2 V j d G l v b j E v V G F i b G U y N D g g K F B h Z 2 U g M j c 2 K S 9 B d X R v U m V t b 3 Z l Z E N v b H V t b n M x L n t T d X J m Y W N l c y A o T W 3 C s i k s M n 0 m c X V v d D s s J n F 1 b 3 Q 7 U 2 V j d G l v b j E v V G F i b G U y N D g g K F B h Z 2 U g M j c 2 K S 9 B d X R v U m V t b 3 Z l Z E N v b H V t b n M x L n t E w 6 l w Z W 5 z Z X M g Z W 4 g 4 o K s L 2 3 C s i w z f S Z x d W 9 0 O 1 0 s J n F 1 b 3 Q 7 Q 2 9 s d W 1 u Q 2 9 1 b n Q m c X V v d D s 6 N C w m c X V v d D t L Z X l D b 2 x 1 b W 5 O Y W 1 l c y Z x d W 9 0 O z p b X S w m c X V v d D t D b 2 x 1 b W 5 J Z G V u d G l 0 a W V z J n F 1 b 3 Q 7 O l s m c X V v d D t T Z W N 0 a W 9 u M S 9 U Y W J s Z T I 0 O C A o U G F n Z S A y N z Y p L 0 F 1 d G 9 S Z W 1 v d m V k Q 2 9 s d W 1 u c z E u e 0 N v b G x l Y 3 R p d m l 0 w 6 k s M H 0 m c X V v d D s s J n F 1 b 3 Q 7 U 2 V j d G l v b j E v V G F i b G U y N D g g K F B h Z 2 U g M j c 2 K S 9 B d X R v U m V t b 3 Z l Z E N v b H V t b n M x L n t E w 6 l w Z W 5 z Z X M g Z O K A m W l u d m V z d G l z c 2 V t Z W 5 0 I C h N 4 o K s K S w x f S Z x d W 9 0 O y w m c X V v d D t T Z W N 0 a W 9 u M S 9 U Y W J s Z T I 0 O C A o U G F n Z S A y N z Y p L 0 F 1 d G 9 S Z W 1 v d m V k Q 2 9 s d W 1 u c z E u e 1 N 1 c m Z h Y 2 V z I C h N b c K y K S w y f S Z x d W 9 0 O y w m c X V v d D t T Z W N 0 a W 9 u M S 9 U Y W J s Z T I 0 O C A o U G F n Z S A y N z Y p L 0 F 1 d G 9 S Z W 1 v d m V k Q 2 9 s d W 1 u c z E u e 0 T D q X B l b n N l c y B l b i D i g q w v b c K y L D N 9 J n F 1 b 3 Q 7 X S w m c X V v d D t S Z W x h d G l v b n N o a X B J b m Z v J n F 1 b 3 Q 7 O l t d f S I v P j x F b n R y e S B U e X B l P S J S Z X N 1 b H R U e X B l I i B W Y W x 1 Z T 0 i c 1 R h Y m x l I i 8 + P E V u d H J 5 I F R 5 c G U 9 I k Z p b G x P Y m p l Y 3 R U e X B l I i B W Y W x 1 Z T 0 i c 0 N v b m 5 l Y 3 R p b 2 5 P b m x 5 I i 8 + P E V u d H J 5 I F R 5 c G U 9 I k x v Y W R l Z F R v Q W 5 h b H l z a X N T Z X J 2 a W N l c y I g V m F s d W U 9 I m w w I i 8 + P C 9 T d G F i b G V F b n R y a W V z P j w v S X R l b T 4 8 S X R l b T 4 8 S X R l b U x v Y 2 F 0 a W 9 u P j x J d G V t V H l w Z T 5 G b 3 J t d W x h P C 9 J d G V t V H l w Z T 4 8 S X R l b V B h d G g + U 2 V j d G l v b j E v V G F i b G U w O T g l M j A o U G F n Z S U y M D E 0 M y k v U 2 9 1 c m N l P C 9 J d G V t U G F 0 a D 4 8 L 0 l 0 Z W 1 M b 2 N h d G l v b j 4 8 U 3 R h Y m x l R W 5 0 c m l l c y 8 + P C 9 J d G V t P j x J d G V t P j x J d G V t T G 9 j Y X R p b 2 4 + P E l 0 Z W 1 U e X B l P k Z v c m 1 1 b G E 8 L 0 l 0 Z W 1 U e X B l P j x J d G V t U G F 0 a D 5 T Z W N 0 a W 9 u M S 9 U Y W J s Z T A 5 O C U y M C h Q Y W d l J T I w M T Q z K S 9 U Y W J s Z T A 5 O D w v S X R l b V B h d G g + P C 9 J d G V t T G 9 j Y X R p b 2 4 + P F N 0 Y W J s Z U V u d H J p Z X M v P j w v S X R l b T 4 8 S X R l b T 4 8 S X R l b U x v Y 2 F 0 a W 9 u P j x J d G V t V H l w Z T 5 G b 3 J t d W x h P C 9 J d G V t V H l w Z T 4 8 S X R l b V B h d G g + U 2 V j d G l v b j E v V G F i b G U w O T g l M j A o U G F n Z S U y M D E 0 M y k v R W 4 t d C V D M y V B Q X R l c y U y M H B y b 2 1 1 c z w v S X R l b V B h d G g + P C 9 J d G V t T G 9 j Y X R p b 2 4 + P F N 0 Y W J s Z U V u d H J p Z X M v P j w v S X R l b T 4 8 S X R l b T 4 8 S X R l b U x v Y 2 F 0 a W 9 u P j x J d G V t V H l w Z T 5 G b 3 J t d W x h P C 9 J d G V t V H l w Z T 4 8 S X R l b V B h d G g + U 2 V j d G l v b j E v V G F i b G U w O T g l M j A o U G F n Z S U y M D E 0 M y k v V H l w Z S U y M G 1 v Z G l m a S V D M y V B O T w v S X R l b V B h d G g + P C 9 J d G V t T G 9 j Y X R p b 2 4 + P F N 0 Y W J s Z U V u d H J p Z X M v P j w v S X R l b T 4 8 S X R l b T 4 8 S X R l b U x v Y 2 F 0 a W 9 u P j x J d G V t V H l w Z T 5 G b 3 J t d W x h P C 9 J d G V t V H l w Z T 4 8 S X R l b V B h d G g + U 2 V j d G l v b j E v V G F i b G U w O T k l M j A o U G F n Z S U y M D E 0 N C k v U 2 9 1 c m N l P C 9 J d G V t U G F 0 a D 4 8 L 0 l 0 Z W 1 M b 2 N h d G l v b j 4 8 U 3 R h Y m x l R W 5 0 c m l l c y 8 + P C 9 J d G V t P j x J d G V t P j x J d G V t T G 9 j Y X R p b 2 4 + P E l 0 Z W 1 U e X B l P k Z v c m 1 1 b G E 8 L 0 l 0 Z W 1 U e X B l P j x J d G V t U G F 0 a D 5 T Z W N 0 a W 9 u M S 9 U Y W J s Z T A 5 O S U y M C h Q Y W d l J T I w M T Q 0 K S 9 U Y W J s Z T A 5 O T w v S X R l b V B h d G g + P C 9 J d G V t T G 9 j Y X R p b 2 4 + P F N 0 Y W J s Z U V u d H J p Z X M v P j w v S X R l b T 4 8 S X R l b T 4 8 S X R l b U x v Y 2 F 0 a W 9 u P j x J d G V t V H l w Z T 5 G b 3 J t d W x h P C 9 J d G V t V H l w Z T 4 8 S X R l b V B h d G g + U 2 V j d G l v b j E v V G F i b G U w O T k l M j A o U G F n Z S U y M D E 0 N C k v V H l w Z S U y M G 1 v Z G l m a S V D M y V B O T w v S X R l b V B h d G g + P C 9 J d G V t T G 9 j Y X R p b 2 4 + P F N 0 Y W J s Z U V u d H J p Z X M v P j w v S X R l b T 4 8 S X R l b T 4 8 S X R l b U x v Y 2 F 0 a W 9 u P j x J d G V t V H l w Z T 5 G b 3 J t d W x h P C 9 J d G V t V H l w Z T 4 8 S X R l b V B h d G g + U 2 V j d G l v b j E v V G F i b G U w O D Q l M j A o U G F n Z S U y M D E x O S k v U 2 9 1 c m N l P C 9 J d G V t U G F 0 a D 4 8 L 0 l 0 Z W 1 M b 2 N h d G l v b j 4 8 U 3 R h Y m x l R W 5 0 c m l l c y 8 + P C 9 J d G V t P j x J d G V t P j x J d G V t T G 9 j Y X R p b 2 4 + P E l 0 Z W 1 U e X B l P k Z v c m 1 1 b G E 8 L 0 l 0 Z W 1 U e X B l P j x J d G V t U G F 0 a D 5 T Z W N 0 a W 9 u M S 9 U Y W J s Z T A 4 N C U y M C h Q Y W d l J T I w M T E 5 K S 9 U Y W J s Z T A 4 N D w v S X R l b V B h d G g + P C 9 J d G V t T G 9 j Y X R p b 2 4 + P F N 0 Y W J s Z U V u d H J p Z X M v P j w v S X R l b T 4 8 S X R l b T 4 8 S X R l b U x v Y 2 F 0 a W 9 u P j x J d G V t V H l w Z T 5 G b 3 J t d W x h P C 9 J d G V t V H l w Z T 4 8 S X R l b V B h d G g + U 2 V j d G l v b j E v V G F i b G U w O D Q l M j A o U G F n Z S U y M D E x O S k v R W 4 t d C V D M y V B Q X R l c y U y M H B y b 2 1 1 c z w v S X R l b V B h d G g + P C 9 J d G V t T G 9 j Y X R p b 2 4 + P F N 0 Y W J s Z U V u d H J p Z X M v P j w v S X R l b T 4 8 S X R l b T 4 8 S X R l b U x v Y 2 F 0 a W 9 u P j x J d G V t V H l w Z T 5 G b 3 J t d W x h P C 9 J d G V t V H l w Z T 4 8 S X R l b V B h d G g + U 2 V j d G l v b j E v V G F i b G U w O D Q l M j A o U G F n Z S U y M D E x O S k v V H l w Z S U y M G 1 v Z G l m a S V D M y V B O T w v S X R l b V B h d G g + P C 9 J d G V t T G 9 j Y X R p b 2 4 + P F N 0 Y W J s Z U V u d H J p Z X M v P j w v S X R l b T 4 8 S X R l b T 4 8 S X R l b U x v Y 2 F 0 a W 9 u P j x J d G V t V H l w Z T 5 G b 3 J t d W x h P C 9 J d G V t V H l w Z T 4 8 S X R l b V B h d G g + U 2 V j d G l v b j E v V G F i b G U w O D U l M j A o U G F n Z S U y M D E y M C k v U 2 9 1 c m N l P C 9 J d G V t U G F 0 a D 4 8 L 0 l 0 Z W 1 M b 2 N h d G l v b j 4 8 U 3 R h Y m x l R W 5 0 c m l l c y 8 + P C 9 J d G V t P j x J d G V t P j x J d G V t T G 9 j Y X R p b 2 4 + P E l 0 Z W 1 U e X B l P k Z v c m 1 1 b G E 8 L 0 l 0 Z W 1 U e X B l P j x J d G V t U G F 0 a D 5 T Z W N 0 a W 9 u M S 9 U Y W J s Z T A 4 N S U y M C h Q Y W d l J T I w M T I w K S 9 U Y W J s Z T A 4 N T w v S X R l b V B h d G g + P C 9 J d G V t T G 9 j Y X R p b 2 4 + P F N 0 Y W J s Z U V u d H J p Z X M v P j w v S X R l b T 4 8 S X R l b T 4 8 S X R l b U x v Y 2 F 0 a W 9 u P j x J d G V t V H l w Z T 5 G b 3 J t d W x h P C 9 J d G V t V H l w Z T 4 8 S X R l b V B h d G g + U 2 V j d G l v b j E v V G F i b G U w O D U l M j A o U G F n Z S U y M D E y M C k v R W 4 t d C V D M y V B Q X R l c y U y M H B y b 2 1 1 c z w v S X R l b V B h d G g + P C 9 J d G V t T G 9 j Y X R p b 2 4 + P F N 0 Y W J s Z U V u d H J p Z X M v P j w v S X R l b T 4 8 S X R l b T 4 8 S X R l b U x v Y 2 F 0 a W 9 u P j x J d G V t V H l w Z T 5 G b 3 J t d W x h P C 9 J d G V t V H l w Z T 4 8 S X R l b V B h d G g + U 2 V j d G l v b j E v V G F i b G U w O D U l M j A o U G F n Z S U y M D E y M C k v V H l w Z S U y M G 1 v Z G l m a S V D M y V B O T w v S X R l b V B h d G g + P C 9 J d G V t T G 9 j Y X R p b 2 4 + P F N 0 Y W J s Z U V u d H J p Z X M v P j w v S X R l b T 4 8 S X R l b T 4 8 S X R l b U x v Y 2 F 0 a W 9 u P j x J d G V t V H l w Z T 5 G b 3 J t d W x h P C 9 J d G V t V H l w Z T 4 8 S X R l b V B h d G g + U 2 V j d G l v b j E v V G F i b G U w O D Y l M j A o U G F n Z S U y M D E y M S k v U 2 9 1 c m N l P C 9 J d G V t U G F 0 a D 4 8 L 0 l 0 Z W 1 M b 2 N h d G l v b j 4 8 U 3 R h Y m x l R W 5 0 c m l l c y 8 + P C 9 J d G V t P j x J d G V t P j x J d G V t T G 9 j Y X R p b 2 4 + P E l 0 Z W 1 U e X B l P k Z v c m 1 1 b G E 8 L 0 l 0 Z W 1 U e X B l P j x J d G V t U G F 0 a D 5 T Z W N 0 a W 9 u M S 9 U Y W J s Z T A 4 N i U y M C h Q Y W d l J T I w M T I x K S 9 U Y W J s Z T A 4 N j w v S X R l b V B h d G g + P C 9 J d G V t T G 9 j Y X R p b 2 4 + P F N 0 Y W J s Z U V u d H J p Z X M v P j w v S X R l b T 4 8 S X R l b T 4 8 S X R l b U x v Y 2 F 0 a W 9 u P j x J d G V t V H l w Z T 5 G b 3 J t d W x h P C 9 J d G V t V H l w Z T 4 8 S X R l b V B h d G g + U 2 V j d G l v b j E v V G F i b G U w O D Y l M j A o U G F n Z S U y M D E y M S k v R W 4 t d C V D M y V B Q X R l c y U y M H B y b 2 1 1 c z w v S X R l b V B h d G g + P C 9 J d G V t T G 9 j Y X R p b 2 4 + P F N 0 Y W J s Z U V u d H J p Z X M v P j w v S X R l b T 4 8 S X R l b T 4 8 S X R l b U x v Y 2 F 0 a W 9 u P j x J d G V t V H l w Z T 5 G b 3 J t d W x h P C 9 J d G V t V H l w Z T 4 8 S X R l b V B h d G g + U 2 V j d G l v b j E v V G F i b G U w O D Y l M j A o U G F n Z S U y M D E y M S k v V H l w Z S U y M G 1 v Z G l m a S V D M y V B O T w v S X R l b V B h d G g + P C 9 J d G V t T G 9 j Y X R p b 2 4 + P F N 0 Y W J s Z U V u d H J p Z X M v P j w v S X R l b T 4 8 S X R l b T 4 8 S X R l b U x v Y 2 F 0 a W 9 u P j x J d G V t V H l w Z T 5 G b 3 J t d W x h P C 9 J d G V t V H l w Z T 4 8 S X R l b V B h d G g + U 2 V j d G l v b j E v V G F i b G U w N z Q l M j A o U G F n Z S U y M D k x K S 9 T b 3 V y Y 2 U 8 L 0 l 0 Z W 1 Q Y X R o P j w v S X R l b U x v Y 2 F 0 a W 9 u P j x T d G F i b G V F b n R y a W V z L z 4 8 L 0 l 0 Z W 0 + P E l 0 Z W 0 + P E l 0 Z W 1 M b 2 N h d G l v b j 4 8 S X R l b V R 5 c G U + R m 9 y b X V s Y T w v S X R l b V R 5 c G U + P E l 0 Z W 1 Q Y X R o P l N l Y 3 R p b 2 4 x L 1 R h Y m x l M D c 0 J T I w K F B h Z 2 U l M j A 5 M S k v V G F i b G U w N z Q 8 L 0 l 0 Z W 1 Q Y X R o P j w v S X R l b U x v Y 2 F 0 a W 9 u P j x T d G F i b G V F b n R y a W V z L z 4 8 L 0 l 0 Z W 0 + P E l 0 Z W 0 + P E l 0 Z W 1 M b 2 N h d G l v b j 4 8 S X R l b V R 5 c G U + R m 9 y b X V s Y T w v S X R l b V R 5 c G U + P E l 0 Z W 1 Q Y X R o P l N l Y 3 R p b 2 4 x L 1 R h Y m x l M D c 0 J T I w K F B h Z 2 U l M j A 5 M S k v R W 4 t d C V D M y V B Q X R l c y U y M H B y b 2 1 1 c z w v S X R l b V B h d G g + P C 9 J d G V t T G 9 j Y X R p b 2 4 + P F N 0 Y W J s Z U V u d H J p Z X M v P j w v S X R l b T 4 8 S X R l b T 4 8 S X R l b U x v Y 2 F 0 a W 9 u P j x J d G V t V H l w Z T 5 G b 3 J t d W x h P C 9 J d G V t V H l w Z T 4 8 S X R l b V B h d G g + U 2 V j d G l v b j E v V G F i b G U w N z Q l M j A o U G F n Z S U y M D k x K S 9 U e X B l J T I w b W 9 k a W Z p J U M z J U E 5 P C 9 J d G V t U G F 0 a D 4 8 L 0 l 0 Z W 1 M b 2 N h d G l v b j 4 8 U 3 R h Y m x l R W 5 0 c m l l c y 8 + P C 9 J d G V t P j x J d G V t P j x J d G V t T G 9 j Y X R p b 2 4 + P E l 0 Z W 1 U e X B l P k Z v c m 1 1 b G E 8 L 0 l 0 Z W 1 U e X B l P j x J d G V t U G F 0 a D 5 T Z W N 0 a W 9 u M S 9 U Y W J s Z T A 3 M y U y M C h Q Y W d l J T I w O T E p L 1 N v d X J j Z T w v S X R l b V B h d G g + P C 9 J d G V t T G 9 j Y X R p b 2 4 + P F N 0 Y W J s Z U V u d H J p Z X M v P j w v S X R l b T 4 8 S X R l b T 4 8 S X R l b U x v Y 2 F 0 a W 9 u P j x J d G V t V H l w Z T 5 G b 3 J t d W x h P C 9 J d G V t V H l w Z T 4 8 S X R l b V B h d G g + U 2 V j d G l v b j E v V G F i b G U w N z M l M j A o U G F n Z S U y M D k x K S 9 U Y W J s Z T A 3 M z w v S X R l b V B h d G g + P C 9 J d G V t T G 9 j Y X R p b 2 4 + P F N 0 Y W J s Z U V u d H J p Z X M v P j w v S X R l b T 4 8 S X R l b T 4 8 S X R l b U x v Y 2 F 0 a W 9 u P j x J d G V t V H l w Z T 5 G b 3 J t d W x h P C 9 J d G V t V H l w Z T 4 8 S X R l b V B h d G g + U 2 V j d G l v b j E v V G F i b G U w N z U l M j A o U G F n Z S U y M D k y K S 9 T b 3 V y Y 2 U 8 L 0 l 0 Z W 1 Q Y X R o P j w v S X R l b U x v Y 2 F 0 a W 9 u P j x T d G F i b G V F b n R y a W V z L z 4 8 L 0 l 0 Z W 0 + P E l 0 Z W 0 + P E l 0 Z W 1 M b 2 N h d G l v b j 4 8 S X R l b V R 5 c G U + R m 9 y b X V s Y T w v S X R l b V R 5 c G U + P E l 0 Z W 1 Q Y X R o P l N l Y 3 R p b 2 4 x L 1 R h Y m x l M D c 1 J T I w K F B h Z 2 U l M j A 5 M i k v V G F i b G U w N z U 8 L 0 l 0 Z W 1 Q Y X R o P j w v S X R l b U x v Y 2 F 0 a W 9 u P j x T d G F i b G V F b n R y a W V z L z 4 8 L 0 l 0 Z W 0 + P E l 0 Z W 0 + P E l 0 Z W 1 M b 2 N h d G l v b j 4 8 S X R l b V R 5 c G U + R m 9 y b X V s Y T w v S X R l b V R 5 c G U + P E l 0 Z W 1 Q Y X R o P l N l Y 3 R p b 2 4 x L 1 R h Y m x l M D c 1 J T I w K F B h Z 2 U l M j A 5 M i k v R W 4 t d C V D M y V B Q X R l c y U y M H B y b 2 1 1 c z w v S X R l b V B h d G g + P C 9 J d G V t T G 9 j Y X R p b 2 4 + P F N 0 Y W J s Z U V u d H J p Z X M v P j w v S X R l b T 4 8 S X R l b T 4 8 S X R l b U x v Y 2 F 0 a W 9 u P j x J d G V t V H l w Z T 5 G b 3 J t d W x h P C 9 J d G V t V H l w Z T 4 8 S X R l b V B h d G g + U 2 V j d G l v b j E v V G F i b G U w N z U l M j A o U G F n Z S U y M D k y K S 9 U e X B l J T I w b W 9 k a W Z p J U M z J U E 5 P C 9 J d G V t U G F 0 a D 4 8 L 0 l 0 Z W 1 M b 2 N h d G l v b j 4 8 U 3 R h Y m x l R W 5 0 c m l l c y 8 + P C 9 J d G V t P j x J d G V t P j x J d G V t T G 9 j Y X R p b 2 4 + P E l 0 Z W 1 U e X B l P k Z v c m 1 1 b G E 8 L 0 l 0 Z W 1 U e X B l P j x J d G V t U G F 0 a D 5 T Z W N 0 a W 9 u M S 9 U Y W J s Z T A 3 M y U y M C h Q Y W d l J T I w O T E p L 0 V u L X Q l Q z M l Q U F 0 Z X M l M j B w c m 9 t d X M 8 L 0 l 0 Z W 1 Q Y X R o P j w v S X R l b U x v Y 2 F 0 a W 9 u P j x T d G F i b G V F b n R y a W V z L z 4 8 L 0 l 0 Z W 0 + P E l 0 Z W 0 + P E l 0 Z W 1 M b 2 N h d G l v b j 4 8 S X R l b V R 5 c G U + R m 9 y b X V s Y T w v S X R l b V R 5 c G U + P E l 0 Z W 1 Q Y X R o P l N l Y 3 R p b 2 4 x L 1 R h Y m x l M D c z J T I w K F B h Z 2 U l M j A 5 M S k v V H l w Z S U y M G 1 v Z G l m a S V D M y V B O T w v S X R l b V B h d G g + P C 9 J d G V t T G 9 j Y X R p b 2 4 + P F N 0 Y W J s Z U V u d H J p Z X M v P j w v S X R l b T 4 8 S X R l b T 4 8 S X R l b U x v Y 2 F 0 a W 9 u P j x J d G V t V H l w Z T 5 G b 3 J t d W x h P C 9 J d G V t V H l w Z T 4 8 S X R l b V B h d G g + U 2 V j d G l v b j E v V G F i b G U y N D g l M j A o U G F n Z S U y M D I 3 N i k v U 2 9 1 c m N l P C 9 J d G V t U G F 0 a D 4 8 L 0 l 0 Z W 1 M b 2 N h d G l v b j 4 8 U 3 R h Y m x l R W 5 0 c m l l c y 8 + P C 9 J d G V t P j x J d G V t P j x J d G V t T G 9 j Y X R p b 2 4 + P E l 0 Z W 1 U e X B l P k Z v c m 1 1 b G E 8 L 0 l 0 Z W 1 U e X B l P j x J d G V t U G F 0 a D 5 T Z W N 0 a W 9 u M S 9 U Y W J s Z T I 0 O C U y M C h Q Y W d l J T I w M j c 2 K S 9 U Y W J s Z T I 0 O D w v S X R l b V B h d G g + P C 9 J d G V t T G 9 j Y X R p b 2 4 + P F N 0 Y W J s Z U V u d H J p Z X M v P j w v S X R l b T 4 8 S X R l b T 4 8 S X R l b U x v Y 2 F 0 a W 9 u P j x J d G V t V H l w Z T 5 G b 3 J t d W x h P C 9 J d G V t V H l w Z T 4 8 S X R l b V B h d G g + U 2 V j d G l v b j E v V G F i b G U y N D g l M j A o U G F n Z S U y M D I 3 N i k v R W 4 t d C V D M y V B Q X R l c y U y M H B y b 2 1 1 c z w v S X R l b V B h d G g + P C 9 J d G V t T G 9 j Y X R p b 2 4 + P F N 0 Y W J s Z U V u d H J p Z X M v P j w v S X R l b T 4 8 S X R l b T 4 8 S X R l b U x v Y 2 F 0 a W 9 u P j x J d G V t V H l w Z T 5 G b 3 J t d W x h P C 9 J d G V t V H l w Z T 4 8 S X R l b V B h d G g + U 2 V j d G l v b j E v V G F i b G U y N D g l M j A o U G F n Z S U y M D I 3 N i k v V H l w Z S U y M G 1 v Z G l m a S V D M y V B O T w v S X R l b V B h d G g + P C 9 J d G V t T G 9 j Y X R p b 2 4 + P F N 0 Y W J s Z U V u d H J p Z X M v P j w v S X R l b T 4 8 S X R l b T 4 8 S X R l b U x v Y 2 F 0 a W 9 u P j x J d G V t V H l w Z T 5 G b 3 J t d W x h P C 9 J d G V t V H l w Z T 4 8 S X R l b V B h d G g + U 2 V j d G l v b j E v V G F i b G U y N D g l M j A o U G F n Z S U y M D I 3 N i k l M j A o M i k v U 2 9 1 c m N l P C 9 J d G V t U G F 0 a D 4 8 L 0 l 0 Z W 1 M b 2 N h d G l v b j 4 8 U 3 R h Y m x l R W 5 0 c m l l c y 8 + P C 9 J d G V t P j x J d G V t P j x J d G V t T G 9 j Y X R p b 2 4 + P E l 0 Z W 1 U e X B l P k Z v c m 1 1 b G E 8 L 0 l 0 Z W 1 U e X B l P j x J d G V t U G F 0 a D 5 T Z W N 0 a W 9 u M S 9 U Y W J s Z T I 0 O C U y M C h Q Y W d l J T I w M j c 2 K S U y M C g y K S 9 U Y W J s Z T I 0 O D w v S X R l b V B h d G g + P C 9 J d G V t T G 9 j Y X R p b 2 4 + P F N 0 Y W J s Z U V u d H J p Z X M v P j w v S X R l b T 4 8 S X R l b T 4 8 S X R l b U x v Y 2 F 0 a W 9 u P j x J d G V t V H l w Z T 5 G b 3 J t d W x h P C 9 J d G V t V H l w Z T 4 8 S X R l b V B h d G g + U 2 V j d G l v b j E v V G F i b G U y N D g l M j A o U G F n Z S U y M D I 3 N i k l M j A o M i k v R W 4 t d C V D M y V B Q X R l c y U y M H B y b 2 1 1 c z w v S X R l b V B h d G g + P C 9 J d G V t T G 9 j Y X R p b 2 4 + P F N 0 Y W J s Z U V u d H J p Z X M v P j w v S X R l b T 4 8 S X R l b T 4 8 S X R l b U x v Y 2 F 0 a W 9 u P j x J d G V t V H l w Z T 5 G b 3 J t d W x h P C 9 J d G V t V H l w Z T 4 8 S X R l b V B h d G g + U 2 V j d G l v b j E v V G F i b G U y N D g l M j A o U G F n Z S U y M D I 3 N i k l M j A o M i k v V H l w Z S U y M G 1 v Z G l m a S V D M y V B O T 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L E V 3 x w 9 + H E u m X F o U U Q M b S g A A A A A C A A A A A A A Q Z g A A A A E A A C A A A A D B 0 z 8 g F L U 7 i L J V K X q g T H F Y v M 0 Y E 1 G w m d w 1 l L R q m 6 i M w g A A A A A O g A A A A A I A A C A A A A B L o K v u M W o S I N p H E S 3 D / l k / c e d W g m C 1 + c y F q E p h + Y n Q 2 l A A A A A v 1 8 U H R H D o L J T I W a M V e N o w K T + w i 8 s o h x 2 k 9 m f 1 f O a K f f c r T 2 t t c Y u h K l x P q Q V U s o y 3 E k O U q 8 y e f Y 1 A k I Y + I q y C m 8 a w c a E h Z K T B A Q V 7 T / v 9 L E A A A A A o Z Q u / n 7 v W W 2 m l t o e g n f v s k F h A l g r I u C L y K a d s 9 i B r K i b Q j n M w 5 O k y L p N s h 2 M W P r m r h 8 d N q f k l w 6 i f T V z z s p q 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0" ma:contentTypeDescription="Crée un document." ma:contentTypeScope="" ma:versionID="30fe95e58db8b7b2ca9ceb81231135c3">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110d45108f9c3a8d0b17f94a7edbf"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07B75-7598-44A6-8AA2-5E2ED8E8B71A}">
  <ds:schemaRefs>
    <ds:schemaRef ds:uri="http://schemas.microsoft.com/sharepoint/v3/contenttype/forms"/>
  </ds:schemaRefs>
</ds:datastoreItem>
</file>

<file path=customXml/itemProps2.xml><?xml version="1.0" encoding="utf-8"?>
<ds:datastoreItem xmlns:ds="http://schemas.openxmlformats.org/officeDocument/2006/customXml" ds:itemID="{89A33AD8-55A7-4031-9882-58282389A613}">
  <ds:schemaRefs>
    <ds:schemaRef ds:uri="http://schemas.microsoft.com/office/2006/metadata/properties"/>
    <ds:schemaRef ds:uri="http://schemas.microsoft.com/office/infopath/2007/PartnerControls"/>
    <ds:schemaRef ds:uri="http://schemas.microsoft.com/sharepoint/v3"/>
    <ds:schemaRef ds:uri="6d25fa36-6e92-4a8c-bcd7-8d2e2e5dc1cc"/>
    <ds:schemaRef ds:uri="2a193445-8f29-4d28-b3a3-ce6182a987ad"/>
  </ds:schemaRefs>
</ds:datastoreItem>
</file>

<file path=customXml/itemProps3.xml><?xml version="1.0" encoding="utf-8"?>
<ds:datastoreItem xmlns:ds="http://schemas.openxmlformats.org/officeDocument/2006/customXml" ds:itemID="{AAC0BFFC-2FCA-4FC3-A49E-CB47D89D7725}">
  <ds:schemaRefs>
    <ds:schemaRef ds:uri="http://schemas.microsoft.com/DataMashup"/>
  </ds:schemaRefs>
</ds:datastoreItem>
</file>

<file path=customXml/itemProps4.xml><?xml version="1.0" encoding="utf-8"?>
<ds:datastoreItem xmlns:ds="http://schemas.openxmlformats.org/officeDocument/2006/customXml" ds:itemID="{8CE547A8-7A44-4613-88CE-588A6C55F6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A LIRE </vt:lpstr>
      <vt:lpstr>Périmètres</vt:lpstr>
      <vt:lpstr>Synthèse</vt:lpstr>
      <vt:lpstr>axPOP</vt:lpstr>
      <vt:lpstr>CT_RENO</vt:lpstr>
      <vt:lpstr>DEP_ENER</vt:lpstr>
      <vt:lpstr>axENER</vt:lpstr>
      <vt:lpstr>axDEP_ENER</vt:lpstr>
      <vt:lpstr>TER_NEUF</vt:lpstr>
      <vt:lpstr>VP</vt:lpstr>
      <vt:lpstr>VUL</vt:lpstr>
      <vt:lpstr>BUSCAR</vt:lpstr>
      <vt:lpstr>MR_FER</vt:lpstr>
      <vt:lpstr>ROUTES</vt:lpstr>
      <vt:lpstr>AxAERO</vt:lpstr>
      <vt:lpstr>RESTAUCO</vt:lpstr>
      <vt:lpstr>MAT_INFO</vt:lpstr>
      <vt:lpstr>Périmètres!Zone_d_impression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Axel ERBA</dc:creator>
  <cp:keywords/>
  <dc:description/>
  <cp:lastModifiedBy>Marine CATRICE</cp:lastModifiedBy>
  <cp:revision/>
  <dcterms:created xsi:type="dcterms:W3CDTF">2024-12-16T12:33:59Z</dcterms:created>
  <dcterms:modified xsi:type="dcterms:W3CDTF">2025-07-22T12:07:35Z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