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0"/>
  <workbookPr codeName="ThisWorkbook"/>
  <mc:AlternateContent xmlns:mc="http://schemas.openxmlformats.org/markup-compatibility/2006">
    <mc:Choice Requires="x15">
      <x15ac:absPath xmlns:x15ac="http://schemas.microsoft.com/office/spreadsheetml/2010/11/ac" url="https://i4ce.sharepoint.com/Documents partages/51 - Adaptation/Q-Adapt/4 - Livrables/Rapport été 2022/"/>
    </mc:Choice>
  </mc:AlternateContent>
  <xr:revisionPtr revIDLastSave="0" documentId="8_{7415A911-8EC1-46EB-8C4D-8F0EC5514DAE}" xr6:coauthVersionLast="47" xr6:coauthVersionMax="47" xr10:uidLastSave="{00000000-0000-0000-0000-000000000000}"/>
  <bookViews>
    <workbookView xWindow="-120" yWindow="-120" windowWidth="29040" windowHeight="15840" tabRatio="595" firstSheet="9" activeTab="9" xr2:uid="{98B441C0-2779-8641-A9E6-B628B948476E}"/>
  </bookViews>
  <sheets>
    <sheet name="Sommaire" sheetId="1" r:id="rId1"/>
    <sheet name="Navigation" sheetId="45" state="hidden" r:id="rId2"/>
    <sheet name="Hyp_communes" sheetId="34" r:id="rId3"/>
    <sheet name="Pilotage" sheetId="27" r:id="rId4"/>
    <sheet name="Eau" sheetId="46" r:id="rId5"/>
    <sheet name="Santé" sheetId="47" r:id="rId6"/>
    <sheet name="Sécurité_civile" sheetId="49" r:id="rId7"/>
    <sheet name="Prévention" sheetId="50" r:id="rId8"/>
    <sheet name="Villes" sheetId="51" r:id="rId9"/>
    <sheet name="Bâtiments" sheetId="52" r:id="rId10"/>
    <sheet name="Réseaux" sheetId="53" r:id="rId11"/>
    <sheet name="Littoral" sheetId="54" r:id="rId12"/>
    <sheet name="Forêt" sheetId="55" r:id="rId13"/>
    <sheet name="Montagne" sheetId="56"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52" l="1"/>
  <c r="H49" i="52"/>
  <c r="B10" i="53"/>
  <c r="H35" i="49" l="1"/>
  <c r="H16" i="49"/>
  <c r="H29" i="51"/>
  <c r="H30" i="51"/>
  <c r="H37" i="54"/>
  <c r="H38" i="27"/>
  <c r="H37" i="27"/>
  <c r="H36" i="27"/>
  <c r="H41" i="27"/>
  <c r="H41" i="51"/>
  <c r="H39" i="27"/>
  <c r="F28" i="1"/>
  <c r="F27" i="1"/>
  <c r="F26" i="1"/>
  <c r="K9" i="53"/>
  <c r="K8" i="53"/>
  <c r="K7" i="53"/>
  <c r="H9" i="53"/>
  <c r="H57" i="53"/>
  <c r="H79" i="53" s="1"/>
  <c r="E9" i="53" s="1"/>
  <c r="E10" i="53"/>
  <c r="B9" i="53"/>
  <c r="E7" i="53"/>
  <c r="H70" i="53"/>
  <c r="H68" i="53"/>
  <c r="H69" i="53"/>
  <c r="H66" i="53"/>
  <c r="H8" i="53" s="1"/>
  <c r="H67" i="53"/>
  <c r="H65" i="53"/>
  <c r="H64" i="53"/>
  <c r="H63" i="53"/>
  <c r="E8" i="53" s="1"/>
  <c r="B8" i="53"/>
  <c r="D25" i="1" a="1"/>
  <c r="D25" i="1" s="1"/>
  <c r="H35" i="56"/>
  <c r="E8" i="56" s="1"/>
  <c r="H37" i="56"/>
  <c r="E7" i="56"/>
  <c r="H16" i="56"/>
  <c r="H14" i="56"/>
  <c r="H15" i="56" s="1"/>
  <c r="H36" i="56" s="1"/>
  <c r="H13" i="56"/>
  <c r="B7" i="56" s="1"/>
  <c r="F33" i="1"/>
  <c r="H37" i="55"/>
  <c r="E7" i="55" s="1"/>
  <c r="B8" i="55"/>
  <c r="E7" i="54"/>
  <c r="F30" i="1" s="1"/>
  <c r="E8" i="54"/>
  <c r="F31" i="1" s="1"/>
  <c r="H35" i="54"/>
  <c r="H34" i="54"/>
  <c r="H36" i="54"/>
  <c r="H19" i="53"/>
  <c r="H76" i="53" s="1"/>
  <c r="H18" i="53"/>
  <c r="H75" i="53" s="1"/>
  <c r="F24" i="1"/>
  <c r="F23" i="1"/>
  <c r="F21" i="1"/>
  <c r="F18" i="1"/>
  <c r="E8" i="52"/>
  <c r="H46" i="52"/>
  <c r="E7" i="27" l="1"/>
  <c r="H74" i="53"/>
  <c r="H10" i="53" s="1"/>
  <c r="H77" i="53"/>
  <c r="H45" i="52" l="1"/>
  <c r="H44" i="52"/>
  <c r="H43" i="52"/>
  <c r="H41" i="52"/>
  <c r="E7" i="52" s="1"/>
  <c r="H15" i="52"/>
  <c r="H14" i="52"/>
  <c r="E8" i="51"/>
  <c r="H43" i="51"/>
  <c r="H33" i="51"/>
  <c r="H40" i="51" s="1"/>
  <c r="H39" i="51"/>
  <c r="E7" i="51" s="1"/>
  <c r="F20" i="1" s="1"/>
  <c r="F16" i="1"/>
  <c r="F14" i="1"/>
  <c r="F12" i="1"/>
  <c r="F10" i="1"/>
  <c r="E7" i="50"/>
  <c r="B8" i="50"/>
  <c r="B7" i="50"/>
  <c r="H43" i="50"/>
  <c r="H45" i="50" s="1"/>
  <c r="H42" i="50"/>
  <c r="H34" i="50"/>
  <c r="E7" i="49"/>
  <c r="B8" i="49"/>
  <c r="B7" i="49"/>
  <c r="K7" i="47"/>
  <c r="H36" i="47"/>
  <c r="H35" i="47"/>
  <c r="H34" i="47"/>
  <c r="H33" i="47"/>
  <c r="E7" i="47" s="1"/>
  <c r="E8" i="46"/>
  <c r="H44" i="46"/>
  <c r="K9" i="46"/>
  <c r="K8" i="46"/>
  <c r="K7" i="46"/>
  <c r="E7" i="46"/>
  <c r="H38" i="46"/>
  <c r="H37" i="46"/>
  <c r="B7" i="46" s="1"/>
  <c r="E8" i="27"/>
  <c r="F9" i="1"/>
  <c r="H40" i="27"/>
  <c r="D17" i="1" a="1"/>
  <c r="D17" i="1" s="1"/>
  <c r="D37" i="1" a="1"/>
  <c r="D37" i="1" s="1"/>
  <c r="D19" i="1" a="1"/>
  <c r="D19" i="1" s="1"/>
  <c r="D22" i="1" a="1"/>
  <c r="D22" i="1" s="1"/>
  <c r="D32" i="1" a="1"/>
  <c r="D32" i="1" s="1"/>
  <c r="D34" i="1" a="1"/>
  <c r="D34" i="1" s="1"/>
  <c r="D29" i="1" a="1"/>
  <c r="D29" i="1" s="1"/>
  <c r="D13" i="1" a="1"/>
  <c r="D13" i="1" s="1"/>
  <c r="D15" i="1" a="1"/>
  <c r="D15" i="1" s="1"/>
  <c r="D11" i="1" a="1"/>
  <c r="D11" i="1" s="1"/>
  <c r="C11" i="45" a="1"/>
  <c r="C11" i="45" s="1"/>
  <c r="D8" i="1" a="1"/>
  <c r="D8" i="1" s="1"/>
  <c r="C25" i="45" a="1"/>
  <c r="C25" i="45" s="1"/>
  <c r="C24" i="45" a="1"/>
  <c r="C24" i="45" s="1"/>
  <c r="C23" i="45" a="1"/>
  <c r="C23" i="45" s="1"/>
  <c r="C22" i="45" a="1"/>
  <c r="C22" i="45" s="1"/>
  <c r="C21" i="45" a="1"/>
  <c r="C21" i="45" s="1"/>
  <c r="C20" i="45" a="1"/>
  <c r="C20" i="45" s="1"/>
  <c r="C19" i="45" a="1"/>
  <c r="C19" i="45" s="1"/>
  <c r="C18" i="45" a="1"/>
  <c r="C18" i="45" s="1"/>
  <c r="C17" i="45" a="1"/>
  <c r="C17" i="45" s="1"/>
  <c r="C16" i="45" a="1"/>
  <c r="C16" i="45" s="1"/>
  <c r="C15" i="45" a="1"/>
  <c r="C15" i="45" s="1"/>
  <c r="C14" i="45" a="1"/>
  <c r="C14" i="45" s="1"/>
  <c r="C13" i="45" a="1"/>
  <c r="C13" i="45" s="1"/>
  <c r="C12" i="45" a="1"/>
  <c r="C12" i="45" s="1"/>
  <c r="F38" i="1" l="1"/>
  <c r="H47" i="50"/>
  <c r="H44" i="50"/>
  <c r="H46"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Vivian DEPOUES</author>
  </authors>
  <commentList>
    <comment ref="J31" authorId="0" shapeId="0" xr:uid="{8F763AB4-D6F6-3547-B2CF-42CD7C2CCE4C}">
      <text>
        <r>
          <rPr>
            <sz val="10"/>
            <color rgb="FF000000"/>
            <rFont val="Tahoma"/>
            <family val="2"/>
          </rPr>
          <t>Page mise à jour, information à actualiser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<sst xmlns="http://schemas.openxmlformats.org/spreadsheetml/2006/main" count="1061" uniqueCount="536">
  <si>
    <t>Se donner les moyens de s’adapter aux conséquences du changement climatique en France : de combien parle-t-on ?</t>
  </si>
  <si>
    <t>Annexe - chiffrage</t>
  </si>
  <si>
    <t>24/06/2022 - V0</t>
  </si>
  <si>
    <t>- Première version</t>
  </si>
  <si>
    <t>18 propositions prêtes à être déployées pour un budget annuel de 2,3 Mds€ additionnels</t>
  </si>
  <si>
    <t>Navigation</t>
  </si>
  <si>
    <t>Chantiers et propositions associées</t>
  </si>
  <si>
    <t>Budget (en M€/an)</t>
  </si>
  <si>
    <t>Acteurs concernés identifiés à ce stade</t>
  </si>
  <si>
    <t>Piloter et animer les politiques d’adaptation aux niveaux national, régional et local</t>
  </si>
  <si>
    <t>Se doter de réelles capacités d’animation et de pilotage de la politique d’adaptation aux niveaux national, régional et local.</t>
  </si>
  <si>
    <t>Etat et ses opérateurs (ONERC, ADEME, DREAL…), Régions et acteurs régionaux, EPCI</t>
  </si>
  <si>
    <t>Créer un dispositif de mutualisation des moyens pour le développement et l’animation des services climatiques</t>
  </si>
  <si>
    <t>Etat, Météo France et acteurs de la recherche</t>
  </si>
  <si>
    <t>Protéger durablement la ressource en eau</t>
  </si>
  <si>
    <t>Augmenter et maintenir dans la durée les moyens dont disposent les agences de l’eau pour leur action en faveur du grand cycle de l’eau et de la biodiversité</t>
  </si>
  <si>
    <t> Agences et acteurs de l’eau</t>
  </si>
  <si>
    <t>Anticiper et prévenir les effets du changement climatique sur la santé</t>
  </si>
  <si>
    <t>Financer un programme national de santé publique pour anticiper et prévenir les risques climatiques (recherche, campagnes de prévention, renforcement de la veille sanitaire)</t>
  </si>
  <si>
    <t>Etat, Santé Publique France, professionnels de santé, ARS</t>
  </si>
  <si>
    <t>Renforcer les politiques de sécurité civile pour suivre une extension des risques</t>
  </si>
  <si>
    <t xml:space="preserve"> Revoir à la hausse les crédits de la sécurité civile pour accompagner l’extension du risque de feu de forêt et de végétation – accompagner l’investissement des SDIS</t>
  </si>
  <si>
    <t>Etat, SDIS, ONF</t>
  </si>
  <si>
    <t>Pérenniser le niveau de prévention des risques naturels malgré un climat qui change</t>
  </si>
  <si>
    <t xml:space="preserve">Prévoir des moyens supplémentaires (enveloppes d’actions et capacités d’animation) pour rehausser le niveau d’effort de prévention des risques d’inondation pour à minima maintenir le niveau de risque actuel malgré les évolutions du climat </t>
  </si>
  <si>
    <t>Etat, EPCI, acteurs de la prévention</t>
  </si>
  <si>
    <t>Repenser les villes pour lutter contre l’effet d’ilot de chaleur urbain</t>
  </si>
  <si>
    <t>Equiper les programmes de renouvellement urbain existant de moyens d’ingénierie leur permettant d’intégrer l’adaptation à la conception des opérations qu’ils soutiennent</t>
  </si>
  <si>
    <t>ANCT, ANRU, Banque des Territoires</t>
  </si>
  <si>
    <t xml:space="preserve">Pérenniser une enveloppe annuelle de soutien à l’extension des bonnes pratiques d’adaptation en ville </t>
  </si>
  <si>
    <t>Etat, Banque des territoires, EPCI</t>
  </si>
  <si>
    <t>Tenir compte du climat futur lors de la construction et la rénovation des bâtiments</t>
  </si>
  <si>
    <r>
      <t>Renforcer</t>
    </r>
    <r>
      <rPr>
        <sz val="12"/>
        <color theme="1"/>
        <rFont val="Calibri"/>
        <family val="2"/>
        <scheme val="minor"/>
      </rPr>
      <t xml:space="preserve"> les moyens d'animation, de sensibilisation et de </t>
    </r>
    <r>
      <rPr>
        <sz val="12"/>
        <color rgb="FF404041"/>
        <rFont val="Calibri"/>
        <family val="2"/>
        <scheme val="minor"/>
      </rPr>
      <t>recherche</t>
    </r>
    <r>
      <rPr>
        <sz val="12"/>
        <color theme="1"/>
        <rFont val="Calibri"/>
        <family val="2"/>
        <scheme val="minor"/>
      </rPr>
      <t xml:space="preserve"> appliquée en matière d'adaptation des bâtiments notamment aux vagues de chaleurs</t>
    </r>
  </si>
  <si>
    <t>Etat, ADEME, Plan et Réseau bâtiment durable</t>
  </si>
  <si>
    <t xml:space="preserve">Prendre en charge le surcoût pour renforcer les exigences en matière de constructions durables et adaptés aux chaleurs futures dans la construction des bâtiments d'enseignement et de recherche. </t>
  </si>
  <si>
    <t>Etat, Collectivités</t>
  </si>
  <si>
    <t>Garantir la résilience des réseaux et infrastructures d’importance vitale : transport, eau, énergie</t>
  </si>
  <si>
    <t>Doter les gestionnaires d’infrastructures et leurs autorités régulatrices des moyens de connaître leurs vulnérabilités et de piloter l’adaptation, notamment au sein de la gestion patrimoniale des réseaux</t>
  </si>
  <si>
    <t>Etat, Régions et gestionnaires d’infrastructures</t>
  </si>
  <si>
    <t xml:space="preserve">Mettre en place et animer une instance de coordination des gestionnaires d’infrastructures </t>
  </si>
  <si>
    <t xml:space="preserve">Prévoir une première enveloppe pour financer des actions ciblées pour traiter les points critiques de vulnérabilité sur les réseaux de transport  </t>
  </si>
  <si>
    <t>Accompagner la recomposition des territoires littoraux face à la montée du niveau de la mer</t>
  </si>
  <si>
    <t>Doter les collectivités des moyens d’objectiver leurs vulnérabilités, d’élaborer et d’animer une stratégie d’adaptation de leur littoral</t>
  </si>
  <si>
    <t> Etat, EPCI</t>
  </si>
  <si>
    <t xml:space="preserve">Créer un fonds d’aide à la recomposition du littoral </t>
  </si>
  <si>
    <t> Etat et collectivités</t>
  </si>
  <si>
    <t>Agir pour des forêts résilientes et un maintien des services qu'elles rendent</t>
  </si>
  <si>
    <t>Financer la mise en œuvre des actions de la feuille de route pour l’adaptation de la forêt française au changement climatique (veille sanitaire, interface recherche-gestion, expérimentation, animation et concertation)</t>
  </si>
  <si>
    <t>Etat, ONF, CNPF, acteurs de la filière forêt-bois</t>
  </si>
  <si>
    <t>Accompagner la diversification et la transition des économies de montagne</t>
  </si>
  <si>
    <t>Pérenniser le fond "Avenir Montagne Ingénierie" et renforcer les moyens d’animation pour répondre aux besoins d'accompagnement des territoires de montagne en matière d'adaptation</t>
  </si>
  <si>
    <t>Etat, ANCT, Banque des Territoires</t>
  </si>
  <si>
    <t>Pérenniser la part état du fond "Avenir Montagne investissement", inciter les Régions à faire de même (pour aboutir à un total de 150 M€/an) et flécher les investissements vers les projets contribuants à l'adaptation</t>
  </si>
  <si>
    <t>Etat, ANCT, Banque des Territoires, Régions</t>
  </si>
  <si>
    <t>Hypothèses communes</t>
  </si>
  <si>
    <t>Total</t>
  </si>
  <si>
    <t>Sommaire</t>
  </si>
  <si>
    <t>Pilotage</t>
  </si>
  <si>
    <t>Prévention</t>
  </si>
  <si>
    <t>Eau</t>
  </si>
  <si>
    <t>Sécurité_civile</t>
  </si>
  <si>
    <t>Santé</t>
  </si>
  <si>
    <t>Littoral</t>
  </si>
  <si>
    <t>Montagne</t>
  </si>
  <si>
    <t>Forêt</t>
  </si>
  <si>
    <t>Bâtiments</t>
  </si>
  <si>
    <t>Villes</t>
  </si>
  <si>
    <t>Page</t>
  </si>
  <si>
    <t>Transports</t>
  </si>
  <si>
    <t>Réseaux</t>
  </si>
  <si>
    <t>Maintenir le niveau de prévention des risques naturels malgré un climat qui change</t>
  </si>
  <si>
    <t>Réseaux_Eau</t>
  </si>
  <si>
    <t>Hyp_communes</t>
  </si>
  <si>
    <t>Sécurité-civile</t>
  </si>
  <si>
    <t>Pérenniser les politiques de sécurité civile face pour suivre une extension des risques</t>
  </si>
  <si>
    <t>Garantir la résilience des réseaux et infrastructures d’importance vitale :  énergie</t>
  </si>
  <si>
    <t>Garantir la résilience des réseaux et infrastructures d’importance vitale :  Eau</t>
  </si>
  <si>
    <t>Hyp_générales</t>
  </si>
  <si>
    <t>Retour sommaire</t>
  </si>
  <si>
    <t>Description</t>
  </si>
  <si>
    <t>Valeur</t>
  </si>
  <si>
    <t>Unité</t>
  </si>
  <si>
    <t>Coût d'un ETP</t>
  </si>
  <si>
    <t>€/an</t>
  </si>
  <si>
    <t>Actions et dépenses existantes contribuant à l'adaptation</t>
  </si>
  <si>
    <t>à faire dès maintenant</t>
  </si>
  <si>
    <t>Quelques personnes au niveau national (&lt;15), des dispositifs régionaux fonctionnant souvent sur la base de temps dédié (parfois bénévolement) par des personnes dont ce n’est pas la mission principale.</t>
  </si>
  <si>
    <t>Données disponibles</t>
  </si>
  <si>
    <t>Source</t>
  </si>
  <si>
    <t>Nombre de ministères directement concernés par la mise en œuvre de l'adaptation</t>
  </si>
  <si>
    <t>Ministères</t>
  </si>
  <si>
    <t>MTE</t>
  </si>
  <si>
    <t>Nombre de régions (13 métropolitaines et ultramarines)</t>
  </si>
  <si>
    <t>Régions</t>
  </si>
  <si>
    <t>Nombre de DREAL et Deal</t>
  </si>
  <si>
    <t>Nombre de départements (96 métropolitains et 5 ultramarins)</t>
  </si>
  <si>
    <t>Départements</t>
  </si>
  <si>
    <t>Intercommunalitées concernées par l'obligation d'élaboration d'un PCAET</t>
  </si>
  <si>
    <t>EPCI</t>
  </si>
  <si>
    <t>ADCF, 2020</t>
  </si>
  <si>
    <t>Calculs intermédiaires et hypothèses</t>
  </si>
  <si>
    <t>Commentaires</t>
  </si>
  <si>
    <r>
      <rPr>
        <b/>
        <sz val="12"/>
        <rFont val="Calibri"/>
        <family val="2"/>
        <scheme val="minor"/>
      </rPr>
      <t>Animation au niveau national</t>
    </r>
    <r>
      <rPr>
        <sz val="12"/>
        <rFont val="Calibri"/>
        <family val="2"/>
        <scheme val="minor"/>
      </rPr>
      <t xml:space="preserve">
Hypothèse : nombre de personnes référentes adaptation au sein de chaque ministère</t>
    </r>
  </si>
  <si>
    <t>ETP/Ministère</t>
  </si>
  <si>
    <r>
      <rPr>
        <b/>
        <sz val="12"/>
        <rFont val="Calibri"/>
        <family val="2"/>
        <scheme val="minor"/>
      </rPr>
      <t>Animation au niveau national</t>
    </r>
    <r>
      <rPr>
        <sz val="12"/>
        <rFont val="Calibri"/>
        <family val="2"/>
        <scheme val="minor"/>
      </rPr>
      <t xml:space="preserve">
Hypothèse : ONERC/ADEME</t>
    </r>
  </si>
  <si>
    <t>ETP</t>
  </si>
  <si>
    <r>
      <rPr>
        <b/>
        <sz val="12"/>
        <color theme="1"/>
        <rFont val="Calibri"/>
        <family val="2"/>
        <scheme val="minor"/>
      </rPr>
      <t>Animation au niveau régional</t>
    </r>
    <r>
      <rPr>
        <sz val="12"/>
        <color theme="1"/>
        <rFont val="Calibri"/>
        <family val="2"/>
        <scheme val="minor"/>
      </rPr>
      <t xml:space="preserve">
Hypothèse : nombre de personnes en charge de l'adapatation au sein de chaque DREAL/DEAL</t>
    </r>
  </si>
  <si>
    <t>ETP/région</t>
  </si>
  <si>
    <r>
      <rPr>
        <b/>
        <sz val="12"/>
        <rFont val="Calibri"/>
        <family val="2"/>
        <scheme val="minor"/>
      </rPr>
      <t>Animation au niveau national</t>
    </r>
    <r>
      <rPr>
        <sz val="12"/>
        <rFont val="Calibri"/>
        <family val="2"/>
        <scheme val="minor"/>
      </rPr>
      <t xml:space="preserve">
Hypothèse : nombre de responsables adaptation par département (en DDT ou préfecture)</t>
    </r>
  </si>
  <si>
    <t>ETP/Département</t>
  </si>
  <si>
    <r>
      <rPr>
        <b/>
        <sz val="12"/>
        <color theme="1"/>
        <rFont val="Calibri"/>
        <family val="2"/>
        <scheme val="minor"/>
      </rPr>
      <t>Animation au niveau régional</t>
    </r>
    <r>
      <rPr>
        <sz val="12"/>
        <color theme="1"/>
        <rFont val="Calibri"/>
        <family val="2"/>
        <scheme val="minor"/>
      </rPr>
      <t xml:space="preserve">
Hypothèse : Nombre de personnes d'une cellule adaptation au sein de chaque administration régionale </t>
    </r>
  </si>
  <si>
    <r>
      <rPr>
        <b/>
        <sz val="12"/>
        <color theme="1"/>
        <rFont val="Calibri"/>
        <family val="2"/>
        <scheme val="minor"/>
      </rPr>
      <t>Animation au niveau régional</t>
    </r>
    <r>
      <rPr>
        <sz val="12"/>
        <color theme="1"/>
        <rFont val="Calibri"/>
        <family val="2"/>
        <scheme val="minor"/>
      </rPr>
      <t xml:space="preserve">
Soutien régional fléché adaptation aux organismes locaux supports de l’adaptation </t>
    </r>
  </si>
  <si>
    <t>€/régions</t>
  </si>
  <si>
    <r>
      <rPr>
        <b/>
        <sz val="12"/>
        <color theme="1"/>
        <rFont val="Calibri"/>
        <family val="2"/>
        <scheme val="minor"/>
      </rPr>
      <t>Animation au niveau local</t>
    </r>
    <r>
      <rPr>
        <sz val="12"/>
        <color theme="1"/>
        <rFont val="Calibri"/>
        <family val="2"/>
        <scheme val="minor"/>
      </rPr>
      <t xml:space="preserve">
Nombre d'ETP par par EPCI obligée de PCAET : 1 ETP de coordinateur + 4*0,25% d’autres services (urba, êv, eau..) </t>
    </r>
  </si>
  <si>
    <t>ETP/EPCI</t>
  </si>
  <si>
    <r>
      <rPr>
        <b/>
        <sz val="12"/>
        <color theme="1"/>
        <rFont val="Calibri"/>
        <family val="2"/>
        <scheme val="minor"/>
      </rPr>
      <t>Services climatiques</t>
    </r>
    <r>
      <rPr>
        <sz val="12"/>
        <color theme="1"/>
        <rFont val="Calibri"/>
        <family val="2"/>
        <scheme val="minor"/>
      </rPr>
      <t xml:space="preserve">
Nombre d'ETP par par EPCI obligée de PCAET : 1 ETP de coordinateur + 4*0,25% d’autres services (urba, êv, eau..) </t>
    </r>
  </si>
  <si>
    <t>Chiffrages résultants</t>
  </si>
  <si>
    <t xml:space="preserve">Renforcement des effectifs de coordination et d’animation transverses et au sein de chaque administration de l’Etat concernée </t>
  </si>
  <si>
    <t>M€/an</t>
  </si>
  <si>
    <t xml:space="preserve">Financement d’un ETP en charge de l’adaptation au sein de chaque DREAL (*13) et DEAL (*5) </t>
  </si>
  <si>
    <t xml:space="preserve">Financement d’un ETP en charge de l’adaptation dans l’administration déconcentrée au niveau de chaque département </t>
  </si>
  <si>
    <t xml:space="preserve">Mise en place d’une cellule adaptation au sein de chaque administration régionale </t>
  </si>
  <si>
    <t xml:space="preserve">Soutien régional fléché adaptation aux organismes locaux supports de l’adaptation </t>
  </si>
  <si>
    <t>Financement d’un ETP en charge de l’adaptation au sein de chaque EPCI devant réaliser un PCAET et mobilisant du temps d’agents des autres directions de la collectivités concernées (urbanisme, espaces verts, eau, etc.)</t>
  </si>
  <si>
    <t>Financement des différents besoins exprimés en matière de services climatiques</t>
  </si>
  <si>
    <t>Hypothèse I4CE, sur la base d'entretiens</t>
  </si>
  <si>
    <t>Mise en perspective de l’enjeu total</t>
  </si>
  <si>
    <t>Qualification des coûts de l’inaction</t>
  </si>
  <si>
    <t>11ème Programme des agences de l’eau, dont environ 1 Mds€/an contribuant à l’adaptation</t>
  </si>
  <si>
    <t xml:space="preserve">Augmenter et maintenir dans la durée les moyens dont disposent les agences de l’eau pour leurs actions en faveur du grand cycle de l’eau et de la biodiversité </t>
  </si>
  <si>
    <t xml:space="preserve">Des actions plus importantes portant sur la ressource (ex. développement des capacités de stockage) mais aussi et surtout sur la sobriété des usages (ex. changement de cultures) seront nécessaires et ne sont pas chiffrées à ce jour. </t>
  </si>
  <si>
    <t>Dommages sur les productions agricoles en moyenne ces dernières années  + coûts sur les autres usages de l’eau  à cause de la secheresse</t>
  </si>
  <si>
    <t xml:space="preserve">En veillant à la mobilisation de moyens pour la concertation et l’élaboration de programme de territoires pour la gestion de l’eau </t>
  </si>
  <si>
    <t>Estimation des pertes de chiffre d'affaire pour l'agriculture en l'absence complète d'adaptation</t>
  </si>
  <si>
    <t>Estimation des pertes de chiffre d'affaire pour l'industrie agroalimentaire en l'absence complète d'adaptation</t>
  </si>
  <si>
    <t>11ème programme d’intervention des agences de l’eau (2019-2024)</t>
  </si>
  <si>
    <t>Mds€</t>
  </si>
  <si>
    <t>Agences de l'eau, 2019</t>
  </si>
  <si>
    <t>- dont "soutenir financièrement des projets territoriaux en faveur de l’adaptation au changement climatique, la préservation et la restauration des milieux aquatiques et la réduction des pollutions de l’eau à hauteur "</t>
  </si>
  <si>
    <t>MTES 2019, 12</t>
  </si>
  <si>
    <t>- dont "actions relatives à la gestion quantitative de la ressource et les investissements dans les économies d’eau en agriculture là où les déséquilibres quantitatifs sont les plus forts"</t>
  </si>
  <si>
    <t>IGF et CGEDD 2018, 18</t>
  </si>
  <si>
    <t>- dont "actions de connaissance, planification et éducation à l’environnement"</t>
  </si>
  <si>
    <t>Dépenses supplémentaires autorisées pour les agences de l'eau en 2022 (risque de sécheresse)</t>
  </si>
  <si>
    <t>M€</t>
  </si>
  <si>
    <t>MAA, 2022</t>
  </si>
  <si>
    <t>Estimation des besoins additionnels pour les politiques de l'eau</t>
  </si>
  <si>
    <t>Comité pour l'économie verte, 2022</t>
  </si>
  <si>
    <t>Proposition de rehaussement du plafond de dépenses des agences de l'eau, dès 2023</t>
  </si>
  <si>
    <t>Proposition de rehaussement du plafond de dépenses des agences de l'eau, à terme</t>
  </si>
  <si>
    <t>Budget associé à l'action "Anticipation et protection" à l'issue du Varenne agricole de l'eau et de l'adaptation au changement climatique.</t>
  </si>
  <si>
    <t>Gouvernement, 2022, 24</t>
  </si>
  <si>
    <t>Budget associé à l'action "Renforcement de la résilience" à l'issue du Varenne agricole de l'eau et de l'adaptation au changement climatique.</t>
  </si>
  <si>
    <t>Accroissement des capacités de stockage et de transfert d’eau, évaluation CGAER</t>
  </si>
  <si>
    <t>CGAER 2015, p.32</t>
  </si>
  <si>
    <t>Objectif affiché pendant les Assises de l’eau d’élaboration des PTGE à horizon 2027</t>
  </si>
  <si>
    <t>PTGE</t>
  </si>
  <si>
    <t>Gouvernement 2019</t>
  </si>
  <si>
    <t>Coût d'élaboration d'un PTGE</t>
  </si>
  <si>
    <t>Exemple</t>
  </si>
  <si>
    <t>Nombre de PTGE existants en 2020</t>
  </si>
  <si>
    <t>MTE 2021, p.63</t>
  </si>
  <si>
    <t>Dommages sur les productions agricoles en moyenne ces dernières années</t>
  </si>
  <si>
    <t>CGAER 2017, 34</t>
  </si>
  <si>
    <t>Programme AGUA (le plan espagnol le plus récent), dans la région de Levante</t>
  </si>
  <si>
    <t>1 à 4</t>
  </si>
  <si>
    <t>Gouvernement espagnol</t>
  </si>
  <si>
    <t>11ème programme d’intervention des agences de l’eau (2019-2024) par an</t>
  </si>
  <si>
    <t>Mds€/an</t>
  </si>
  <si>
    <t>- dont part contribuant à l'adaptation</t>
  </si>
  <si>
    <t>Coût de l'élaboration des PTGE suivant les objectifs des assises de l'eau</t>
  </si>
  <si>
    <t xml:space="preserve">Plan National Canicule et systèmes de vigilance et d’alerte dédiés </t>
  </si>
  <si>
    <t>Financer un programme national de santé publique pour anticiper et prévenir les risques climatiques (recherche, campagnes de prévention, renforcement de la veille sanitaire). Budget minimum</t>
  </si>
  <si>
    <t xml:space="preserve">Jusqu’à 1% des décès imputables à la hausse des températures dans un scénario de réchauffement fort en 2050 </t>
  </si>
  <si>
    <t>Ex. monétarisation des effets des vagues de chaleur en France entre 2015 et 2020</t>
  </si>
  <si>
    <t>Possiblement des besoins en termes de prévention et de prise en charge bien plus élevés</t>
  </si>
  <si>
    <t xml:space="preserve">Programme budgétaire 204 relatif à la « Prévention, sécurité sanitaire et offre de soins » </t>
  </si>
  <si>
    <t>Gouvernement. 2021</t>
  </si>
  <si>
    <t xml:space="preserve">- dont veille sanitaire </t>
  </si>
  <si>
    <t>- dont prévention des risques liés à l'environnement et à l’alimentation</t>
  </si>
  <si>
    <t xml:space="preserve">- dont « prévention des risques saisonniers » qui recouvre à la fois les risques de canicules, de grand froid et les « risques de l’été » </t>
  </si>
  <si>
    <t>22 à 27 Mds€</t>
  </si>
  <si>
    <t>Santé Publique France. 2021</t>
  </si>
  <si>
    <r>
      <rPr>
        <b/>
        <sz val="12"/>
        <color theme="1"/>
        <rFont val="Calibri"/>
        <family val="2"/>
        <scheme val="minor"/>
      </rPr>
      <t>Hypothèse</t>
    </r>
    <r>
      <rPr>
        <sz val="12"/>
        <color theme="1"/>
        <rFont val="Calibri"/>
        <family val="2"/>
        <scheme val="minor"/>
      </rPr>
      <t xml:space="preserve">
Nombre d'ETP d'animation pour appel à projets d'exploration et d'approfondissement</t>
    </r>
  </si>
  <si>
    <t>hypothèse : 1ETP d’animation de l’appel à projets et 5 à 6 projets annuels de 150 à 200 k€).</t>
  </si>
  <si>
    <r>
      <rPr>
        <b/>
        <sz val="12"/>
        <color theme="1"/>
        <rFont val="Calibri"/>
        <family val="2"/>
        <scheme val="minor"/>
      </rPr>
      <t xml:space="preserve">Hypothèse
</t>
    </r>
    <r>
      <rPr>
        <sz val="12"/>
        <color theme="1"/>
        <rFont val="Calibri"/>
        <family val="2"/>
        <scheme val="minor"/>
      </rPr>
      <t>Nombre de projets d’exploration et d’approfondissement réalisés chaque année</t>
    </r>
  </si>
  <si>
    <t>Projet/an</t>
  </si>
  <si>
    <r>
      <rPr>
        <b/>
        <sz val="12"/>
        <color theme="1"/>
        <rFont val="Calibri"/>
        <family val="2"/>
        <scheme val="minor"/>
      </rPr>
      <t xml:space="preserve">Hypothèse
</t>
    </r>
    <r>
      <rPr>
        <sz val="12"/>
        <color theme="1"/>
        <rFont val="Calibri"/>
        <family val="2"/>
        <scheme val="minor"/>
      </rPr>
      <t>Coût d'un projet d’exploration et d’approfondissement</t>
    </r>
  </si>
  <si>
    <t>€/projet</t>
  </si>
  <si>
    <r>
      <t xml:space="preserve">Hypothèse
</t>
    </r>
    <r>
      <rPr>
        <sz val="12"/>
        <color theme="1"/>
        <rFont val="Calibri"/>
        <family val="2"/>
        <scheme val="minor"/>
      </rPr>
      <t xml:space="preserve">Recueil et évaluation des bonnes pratiques et accompagnement à leur déploiement auprès des acteurs compétents </t>
    </r>
  </si>
  <si>
    <t xml:space="preserve">Une personne chargée de la coordination de ces missions au niveau national et un référent dédié au sein de chaque cellule régionale de Santé Publique France </t>
  </si>
  <si>
    <r>
      <t xml:space="preserve">Hypothèse
</t>
    </r>
    <r>
      <rPr>
        <sz val="12"/>
        <color theme="1"/>
        <rFont val="Calibri"/>
        <family val="2"/>
        <scheme val="minor"/>
      </rPr>
      <t>Renforcement de la prise en compte des effets liés au climat au sein des dispositifs de veille et de surveillance existants</t>
    </r>
  </si>
  <si>
    <t xml:space="preserve">Initialement temps d’étude et de préparation à la mise en place au sein de Santé Publique France (ex. procédures d’automatisation de la collecte de données, documentation, procédures d’analyse, impact sur les doctrines). Puis sensibilisation et animation des réseaux d’utilisateurs. Principalement des moyens humains </t>
  </si>
  <si>
    <r>
      <t xml:space="preserve">Hypothèse
</t>
    </r>
    <r>
      <rPr>
        <sz val="12"/>
        <color theme="1"/>
        <rFont val="Calibri"/>
        <family val="2"/>
        <scheme val="minor"/>
      </rPr>
      <t>Approfondissement des retours d’expérience au lendemain des épisodes climatiques remarquables et ajustement des réponses.</t>
    </r>
  </si>
  <si>
    <t xml:space="preserve">Principalement des moyens humains </t>
  </si>
  <si>
    <t xml:space="preserve">Projets d’exploration et d’approfondissement des connaissances sur les liens entre changement climatique et santé pour mieux calibrer les évolutions (ciblage des campagnes d’information, adaptation des doctrines, évolution des normes, équipement, etc.) à prévoir. </t>
  </si>
  <si>
    <t>Recueil et évaluation des bonnes pratiques et accompagnement à leur déploiement auprès des acteurs compétents (ex. accompagnement de mesures climat et santé dans les PCAET ; dans l’urbanisme ; sensibilisation auprès des acteurs associatifs ; conseil aux élus sur la gestion d’épisodes de crise).</t>
  </si>
  <si>
    <t>Renforcement de la prise en compte des effets liés au climat au sein des dispositifs de veille et de surveillance existants (ex. surveillance syndromique, veille sur des maladies vectorielles comme celles transmises par le moustique tigre).</t>
  </si>
  <si>
    <t>Approfondissement des retours d’expérience au lendemain des épisodes climatiques remarquables et ajustement des réponses.</t>
  </si>
  <si>
    <t xml:space="preserve">Budget annuel de la sécurité civile </t>
  </si>
  <si>
    <t xml:space="preserve">Revoir à la hausse les crédits de la sécurité civile pour accompagner l’extension du risque de feu de forêt et de végétation – accompagner l’investissement des SDIS </t>
  </si>
  <si>
    <t>Des enjeux plus larges sur l’ensemble des missions de sécurité civile (crises épidémiques, évènements météo extrêmes…) pour faire face à l’extension des risques en fréquence et dans l’espace. Des évolutions de doctrines, de moyens et d’équipements à prévoir.</t>
  </si>
  <si>
    <t xml:space="preserve">Augmentation des coûts des dommages (humains, économiques et sur les écosystèmes) liés à des évènements avec l’extension géographique et en durée de la saison des feux de forêt.
Surcoûts liés à la gestion de crises non préparées </t>
  </si>
  <si>
    <t>Dont politique de prévention et de lutte contre les feux de forêt</t>
  </si>
  <si>
    <t>Budget de l'état pour la sécurité civile (PLF 2022)</t>
  </si>
  <si>
    <t>Gouvernement 2021</t>
  </si>
  <si>
    <t>Budget consolidé des services départementaux d'incendie et de secours (SDIS), financés par les collectivités territoriales</t>
  </si>
  <si>
    <t>Sénat 2022</t>
  </si>
  <si>
    <t>-Dont politique de prévention et de lutte contre les feux de forêt</t>
  </si>
  <si>
    <t>Séna 2022</t>
  </si>
  <si>
    <t>Estimation de la hausse des moyens des politiques de lutte contre les incendies (+20% de 500 M€/an)</t>
  </si>
  <si>
    <t>CGAER, IGA 2010, 67</t>
  </si>
  <si>
    <r>
      <rPr>
        <b/>
        <sz val="12"/>
        <color theme="1"/>
        <rFont val="Calibri"/>
        <family val="2"/>
        <scheme val="minor"/>
      </rPr>
      <t>Exemple d'actions de prévention et de sensibilisation</t>
    </r>
    <r>
      <rPr>
        <sz val="12"/>
        <color theme="1"/>
        <rFont val="Calibri"/>
        <family val="2"/>
        <scheme val="minor"/>
      </rPr>
      <t xml:space="preserve">
Entente Valabre </t>
    </r>
  </si>
  <si>
    <t>Vogel 2019, 26</t>
  </si>
  <si>
    <r>
      <rPr>
        <b/>
        <sz val="12"/>
        <color theme="1"/>
        <rFont val="Calibri"/>
        <family val="2"/>
        <scheme val="minor"/>
      </rPr>
      <t xml:space="preserve">Exemple d'actions de prévention et de sensibilisation 
</t>
    </r>
    <r>
      <rPr>
        <sz val="12"/>
        <color theme="1"/>
        <rFont val="Calibri"/>
        <family val="2"/>
        <scheme val="minor"/>
      </rPr>
      <t xml:space="preserve">Création d’une enveloppe de soutien aux projets d’investissement en matière de feux de forêt au sein de la dotation de soutien aux investissements structurants des SDIS </t>
    </r>
  </si>
  <si>
    <t>Vogel 2019, 58</t>
  </si>
  <si>
    <t xml:space="preserve">Renouvellement de la flotte aérienne de la sécurité civile. 
Coût de la commande de 6 Dash 8 Q 400 MR amorcée en 2018 </t>
  </si>
  <si>
    <t xml:space="preserve">Besoin d'investissement pour renforcer la flotte d’hélicoptères </t>
  </si>
  <si>
    <t>Vogel 2020, 30</t>
  </si>
  <si>
    <t>Dispositif RescueUE - montant total. Ce dispositif a pour objectif de contribuer à l’émergence d’une flotte commune européenne dotée d’aéronefs dont l’acquisition est cofinancée par la Commission européenne et l’État membre.</t>
  </si>
  <si>
    <t>Vogel 2020, 34</t>
  </si>
  <si>
    <t xml:space="preserve">Dispositif RescueUE - coûts d’investissement et coûts de fonctionnement des deux avions bombardiers d’eau amphibies de type Canadair dans le cadre de la flotte commune européenne. 
Cofinancée par l’Union européenne, à hauteur de 90 % </t>
  </si>
  <si>
    <t>Vogel 2021, 31</t>
  </si>
  <si>
    <t>En toute première approximation et en gardant à l’esprit que l’on doit s'attendre à une augmentation des coûts très sensible, peut-être bien au-delà des 20 % déjà évoqués par le rapport de 2010, on peut retenir un premier jalon d’augmentation des moyens de ces politiques de :</t>
  </si>
  <si>
    <t>M/an</t>
  </si>
  <si>
    <t>Fonds de prévention des risques naturels majeurs (FPRNM dit « fonds Barnier »)</t>
  </si>
  <si>
    <t xml:space="preserve">Prévoir des moyens supplémentaires pour rehausser le niveau d’effort de prévention des risques d’inondation pour a minima maintenir le niveau de risque actuel malgré les évolutions du climat </t>
  </si>
  <si>
    <t>Possiblement plusieurs milliards si des relocalisations massives sont envisagées</t>
  </si>
  <si>
    <t>24 Mds€ de dégâts cumulés causés par l’évolution des aléas due au changement climatique (période 2020-2050)</t>
  </si>
  <si>
    <t>Taxe GEMAPI</t>
  </si>
  <si>
    <t>Dégâts cumulés estimés causés par l’évolution des aléas due au changement climatique (période 2020-2050)</t>
  </si>
  <si>
    <t>FFA, 2021, p.10</t>
  </si>
  <si>
    <t>Sinistralité couverte au titre de la garantie catastrophes naturelles (Cat Nat) - valeur 2020</t>
  </si>
  <si>
    <t>CCR, 2020</t>
  </si>
  <si>
    <t xml:space="preserve">Montant annuel dédié au programme 181 - Prévention des risque (AE2022) </t>
  </si>
  <si>
    <t>PLF 2022,  Programme 181</t>
  </si>
  <si>
    <t xml:space="preserve">- Dont montant annuel dédié au fonds de prévention des risques naturels majeurs (AE2022) </t>
  </si>
  <si>
    <t>Hausse de la sinistralité inondation due au changement climatique, selon la FFA, scénario RCP 8.5</t>
  </si>
  <si>
    <t>%</t>
  </si>
  <si>
    <t>FFA, 2021</t>
  </si>
  <si>
    <t>Hausse de la sinistralité inondation due au changement climatique, selon la CCR, scénario RCP 8.5</t>
  </si>
  <si>
    <t>CCR, 2018</t>
  </si>
  <si>
    <t>Nombre de personnes vivant en zone inondable</t>
  </si>
  <si>
    <t>Millions de personnes</t>
  </si>
  <si>
    <t>Assemblée nationale, 2021</t>
  </si>
  <si>
    <t xml:space="preserve">- dont nombre de personnes couvertes par un Programmes d'Actions de Prévention des Inondations (PAPI) </t>
  </si>
  <si>
    <t>Montant national recolté au titre de la taxe GEMAPI</t>
  </si>
  <si>
    <t>Assemblée nationale</t>
  </si>
  <si>
    <t>Montant du PAPI de Nîmes-Vistre, un des programmes les plus importants au niveau national</t>
  </si>
  <si>
    <t>Millions d'euros</t>
  </si>
  <si>
    <t>Prefecture du Gard</t>
  </si>
  <si>
    <t>Nombre de personnes couvertes par le PAPI de Nîmes-Vistre</t>
  </si>
  <si>
    <t>Personnes</t>
  </si>
  <si>
    <t>PAPI 3 Nîmes Vistre</t>
  </si>
  <si>
    <t>Nombre de PAPI labélisés entre 2011 et 2018</t>
  </si>
  <si>
    <t>U</t>
  </si>
  <si>
    <t>CGEDD, 2019</t>
  </si>
  <si>
    <t>Coût complet des 96 PAPI labélisés entre 2011 et 2018</t>
  </si>
  <si>
    <t>Montant estimé de l'effort annuel de la prévention du PAPI de Nîmes-Vistre</t>
  </si>
  <si>
    <t>€/hab</t>
  </si>
  <si>
    <t>PAPI labélisé pour 6 ans</t>
  </si>
  <si>
    <t>Besoins supplémentaires d'animation pour chaque structure porteuse de PAPI</t>
  </si>
  <si>
    <t>Suivant les préconisations du CGEDD</t>
  </si>
  <si>
    <r>
      <rPr>
        <b/>
        <sz val="12"/>
        <rFont val="Calibri"/>
        <family val="2"/>
        <scheme val="minor"/>
      </rPr>
      <t>Moyens d'animation</t>
    </r>
    <r>
      <rPr>
        <sz val="12"/>
        <rFont val="Calibri"/>
        <family val="2"/>
        <scheme val="minor"/>
      </rPr>
      <t xml:space="preserve">
2 ETP en plus dans chaque structure porteuse d'un PAPI</t>
    </r>
  </si>
  <si>
    <r>
      <rPr>
        <b/>
        <sz val="12"/>
        <rFont val="Calibri"/>
        <family val="2"/>
        <scheme val="minor"/>
      </rPr>
      <t>Effort actuel</t>
    </r>
    <r>
      <rPr>
        <sz val="12"/>
        <rFont val="Calibri"/>
        <family val="2"/>
        <scheme val="minor"/>
      </rPr>
      <t xml:space="preserve">
Flux annuel estimé de l'effort actuel de prévention à travers les PAPI</t>
    </r>
  </si>
  <si>
    <t>Hypothèse que tous les PAPI sont labélisés pour 6 ans, et sont réalisés en parallèle</t>
  </si>
  <si>
    <r>
      <rPr>
        <b/>
        <sz val="12"/>
        <color theme="1"/>
        <rFont val="Calibri"/>
        <family val="2"/>
        <scheme val="minor"/>
      </rPr>
      <t>Augmentation de la sinistralité, FFA</t>
    </r>
    <r>
      <rPr>
        <sz val="12"/>
        <color theme="1"/>
        <rFont val="Calibri"/>
        <family val="2"/>
        <scheme val="minor"/>
      </rPr>
      <t xml:space="preserve">
L'effort de prévention augmente linéairement avec la hausse de la sinistralité anticipé par les assureurs (FFA)</t>
    </r>
  </si>
  <si>
    <t>écart par rapport à l'effort actuel</t>
  </si>
  <si>
    <r>
      <rPr>
        <b/>
        <sz val="12"/>
        <color theme="1"/>
        <rFont val="Calibri"/>
        <family val="2"/>
        <scheme val="minor"/>
      </rPr>
      <t>Augmentation de la sinistralité, CCR</t>
    </r>
    <r>
      <rPr>
        <sz val="12"/>
        <color theme="1"/>
        <rFont val="Calibri"/>
        <family val="2"/>
        <scheme val="minor"/>
      </rPr>
      <t xml:space="preserve">
L'effort de prévention augmente linéairement avec la hausse de la sinistralité anticipé par les assureurs (CCR)</t>
    </r>
  </si>
  <si>
    <r>
      <rPr>
        <b/>
        <sz val="12"/>
        <color theme="1"/>
        <rFont val="Calibri"/>
        <family val="2"/>
        <scheme val="minor"/>
      </rPr>
      <t>Généralisation des bonnes pratiques</t>
    </r>
    <r>
      <rPr>
        <sz val="12"/>
        <color theme="1"/>
        <rFont val="Calibri"/>
        <family val="2"/>
        <scheme val="minor"/>
      </rPr>
      <t xml:space="preserve">
les PAPI couvrant les 8,8 millions de personnes exposées, réhaussent leur niveau d’ambition à celui du PAPI de Nîmes-Vistre</t>
    </r>
  </si>
  <si>
    <r>
      <rPr>
        <b/>
        <sz val="12"/>
        <rFont val="Calibri"/>
        <family val="2"/>
        <scheme val="minor"/>
      </rPr>
      <t>Extension géographique</t>
    </r>
    <r>
      <rPr>
        <sz val="12"/>
        <rFont val="Calibri"/>
        <family val="2"/>
        <scheme val="minor"/>
      </rPr>
      <t xml:space="preserve">
Réhausse du niveau d'ambition à celui du PAPI de Nîmes-Vistre et couverture de 100% de la population exposée</t>
    </r>
  </si>
  <si>
    <t>-Accompagnement en ingénierie SGREEN et SGREEN+ 
-Actions ponctuelles de certaines villes dans leur PCAET
-Annonce en juin 2022 d’un programme de renaturation des villes doté de 500 M€</t>
  </si>
  <si>
    <t xml:space="preserve">Equiper les programmes de renouvellement urbain existant de moyens d’ingénierie leur permettant d’intégrer l’adaptation à la conception des opérations qu’ils soutiennent </t>
  </si>
  <si>
    <t>Possiblement plusieurs dizaines de milliards d’euros en cas de restructuration profonde des espaces urbains</t>
  </si>
  <si>
    <t>Diversité de coûts socioéconomiques des évènements climatiques extrêmes (impacts sanitaires, pertes de productivité et d’attractivité, externalités négatives dues au recours à la climatisation…)</t>
  </si>
  <si>
    <t>Montant total du Nouveau Programme National de Renouvellement Urbain, piloté par l’ANRU (valeur moyenne)</t>
  </si>
  <si>
    <t>ANRU</t>
  </si>
  <si>
    <t>Montant total du programme "Action Cœur de ville" porté par la Banque des Territoires</t>
  </si>
  <si>
    <t>Banque des territoires</t>
  </si>
  <si>
    <t>Nombre de communes densément peuplées</t>
  </si>
  <si>
    <t>Communes</t>
  </si>
  <si>
    <t>Grille communale de densité, INSEE, 2020</t>
  </si>
  <si>
    <t>Coût de désimpermabilisation moyen des cours de 9 écoles à Lille</t>
  </si>
  <si>
    <t>€/école</t>
  </si>
  <si>
    <t>CEREMA, 2022</t>
  </si>
  <si>
    <t>Investissement total dans la renaturation des villes pour réduire les effets d'îlots de chaleur urbains</t>
  </si>
  <si>
    <t>Carbone 4, 2021</t>
  </si>
  <si>
    <t>Investissement annuel dans la renaturation des villes pour réduire les effets d'îlots de chaleur urbains</t>
  </si>
  <si>
    <t>Coût moyen de végétalisation (hypothèse Carbone4)</t>
  </si>
  <si>
    <t>€/m²</t>
  </si>
  <si>
    <t>Nombre d'habitants en zones densément peuplées et de densité intermédiaire (espace urbain)</t>
  </si>
  <si>
    <t>personnes</t>
  </si>
  <si>
    <t>Budget moyen dédié aux espaces verts de la la ville d'Angers des grandes villes françaises</t>
  </si>
  <si>
    <t>Observatoire des villes vertes, 2020</t>
  </si>
  <si>
    <t>Budget dédié aux espaces verts de la la ville d'Angers</t>
  </si>
  <si>
    <t>Surface dédiée aux espaces verts par habitant en moyenne</t>
  </si>
  <si>
    <t>m²/hab</t>
  </si>
  <si>
    <t>Surface dédiée aux espaces verts par habitant à Angers</t>
  </si>
  <si>
    <t>Flux d'investissement annuel estimé NPNRU (programme jusqu'en 2030)</t>
  </si>
  <si>
    <t>Flux d'investissement annuel estimé - "Action cœur de ville" (période de 5 ans)</t>
  </si>
  <si>
    <t>Hypothèse de surcoût de conception de projet adapté (missions d'ingenierie)</t>
  </si>
  <si>
    <t xml:space="preserve">Nombre d'écoles en zones densément peuplées et de densité intermédiaire </t>
  </si>
  <si>
    <t>écoles</t>
  </si>
  <si>
    <t>Croisement des bases de données, INSEE et Ministère de l'éducation</t>
  </si>
  <si>
    <t>Estimation de l'effort de végétalisation actuel des communes urbaines</t>
  </si>
  <si>
    <t>Besoins additionnels pour l'adaptation dans les programmes NPNRU, et Action cœur de ville</t>
  </si>
  <si>
    <t>Rehausse de l'effort de végétalisation à hauteur de celui d'Angers</t>
  </si>
  <si>
    <t>Additionel, par rapport à l'effort actuel</t>
  </si>
  <si>
    <t>Besoins d'investissement pour désimperméabiliser l'ensemble des cours d'école des zones urbaines</t>
  </si>
  <si>
    <t>Pour un investissement lissé d'ici à 2035</t>
  </si>
  <si>
    <t>Une enveloppe pour répondre aux enjeux de désimpermabilisation, végétalisation etc….</t>
  </si>
  <si>
    <t>Hypothèse I4CE, sur la base des besoins ci-dessus</t>
  </si>
  <si>
    <t>Atteindre le niveau de végétalisation d'Angers (100m²/hab)</t>
  </si>
  <si>
    <t>Ce chiffre ne tient pas compte du foncier/déconstruction
'lissé arbitrairement sur 15 ans</t>
  </si>
  <si>
    <t>-Quelques actions d’animation et de sensibilisation
- Certaines démarches exemplaires (ex. BDM) tentent de tenir compte des chaleurs futures
- Aucun investissement spécifiquement fléché identifié</t>
  </si>
  <si>
    <t xml:space="preserve">Renforcer les moyens d'animation, de sensibilisation et de recherche appliquée en matière d'adaptation des bâtiments notamment aux vagues de chaleurs </t>
  </si>
  <si>
    <t>Possiblement plusieurs dizaines de milliards d’euros si enjeu d’adapter l’ensemble des bâtiments aux risques futurs.</t>
  </si>
  <si>
    <t>-Externalités (émissions, consommations électriques…) liées au recours massif à la climatisation
-Coûts liés à la rénovations lourde et non anticipée de certains bâtiments</t>
  </si>
  <si>
    <t xml:space="preserve">Prendre en charge le surcoût pour renforcer les exigences en matière de constructions durables et adaptés aux chaleurs futures dans la construction des bâtiments d'enseignement et de recherche </t>
  </si>
  <si>
    <t>Marché du bâtiment - valeur total</t>
  </si>
  <si>
    <t>FFB 2021</t>
  </si>
  <si>
    <t>Investissements de l’état pour l’acquisition et la construction de son parc (AE 2022)</t>
  </si>
  <si>
    <t>PLF 2022, Politique immobilière de l'état, P272</t>
  </si>
  <si>
    <t>Investissements de l’état pour les travaux structurants et l'entretien lourd de son parc (AE 2022)</t>
  </si>
  <si>
    <t>Montant total des aides (publiques et privées) à la rénovation énergétique (2021)</t>
  </si>
  <si>
    <t>Panorama des financements climat, 2021</t>
  </si>
  <si>
    <t>Dépenses d'entretien des bailleurs pour l’acquisition et la construction de logements sociaux (2019)</t>
  </si>
  <si>
    <t>USH, 2021</t>
  </si>
  <si>
    <t>Dépenses d'entretien des bailleurs sociaux dans leur parc (2019)</t>
  </si>
  <si>
    <t>Campagne de sensibilisation FAIRE, enveloppe prévue dans le cadre de France Relance</t>
  </si>
  <si>
    <t>Assemblée nationale, 2020, P70</t>
  </si>
  <si>
    <t>Campagne de sensibilisation "faisons vite, ça chauffe"</t>
  </si>
  <si>
    <t>Nouvel obs, 2016</t>
  </si>
  <si>
    <t>Nombre d'entreprises labélisées RGE</t>
  </si>
  <si>
    <t>Entreprises</t>
  </si>
  <si>
    <t>Effy</t>
  </si>
  <si>
    <t>Besoin d’investissement pour atteindre les objectifs de la SNBC en matière de rénovation globale en une fois</t>
  </si>
  <si>
    <t>I4CE,2021</t>
  </si>
  <si>
    <t xml:space="preserve">Hypothèse de surcoût de construction d'un bâtiment exemplaire au regard de plusieurs critères de durabilité dont le confort d'été (type démarche "Bâtiment durable Méditerranéen") </t>
  </si>
  <si>
    <t>Estimation sur la base d'une dizaine de retours d'expérience</t>
  </si>
  <si>
    <t>Coût annuel estimé du programme de recherche PREBAT (hors coût des projets démonstrateurs)</t>
  </si>
  <si>
    <t>Sur la base des coûts évoqués lors d'une question parlementaire</t>
  </si>
  <si>
    <t>Estimation du nombre de structures pouvant renforcer l'animation et la diffusion sur le sujet du confort d'été</t>
  </si>
  <si>
    <t>établissements</t>
  </si>
  <si>
    <t>Notamment le réseau bâtiment durable</t>
  </si>
  <si>
    <t>Hypothèse : besoin supplémentaire dans les structures d'animation</t>
  </si>
  <si>
    <t>ETP/établissement</t>
  </si>
  <si>
    <t>Coût estimé d'un module d'une journée de formation RGE 
Sur la base d'un coût de formation de 600 euros pour 3 jours de formation</t>
  </si>
  <si>
    <t>€</t>
  </si>
  <si>
    <t>Flux moyen de construction de locaux de type "enseignement-recherche" 2011/2020, en surface autorisée</t>
  </si>
  <si>
    <t>m²</t>
  </si>
  <si>
    <t xml:space="preserve"> MEEDDM/CGDD/SOeS, Sit@del2 - Surface de locaux autorisés par type et par département (1996-2020)</t>
  </si>
  <si>
    <t>Coût moyen d'un bâtiment type "enseignement-recherche" standard</t>
  </si>
  <si>
    <t>Estimation sur la base des prix constatés de 11 opérations (Observatoire des prix constatés d'opérations de construction, UNTEC EGF.BTP)</t>
  </si>
  <si>
    <t xml:space="preserve">Un programme de recherche dédié aux enjeux de construction durable dont celui de la prise en compte de l’évolution du climat. </t>
  </si>
  <si>
    <t>Intégrer un module « confort d’été » lors du renouvèlement du label « RGE » des artisans.</t>
  </si>
  <si>
    <t>Lors du renouvelement tous les 4 ans</t>
  </si>
  <si>
    <t>Intégrer des animateurs spécialisés « confort d’été » dans les structures d’animation existantes</t>
  </si>
  <si>
    <t>Campagne de communication spécifique à la construction durable et à la rénovation globale</t>
  </si>
  <si>
    <t>Sur le modèle des crédits France Relance alloué à la campagne FAIRE</t>
  </si>
  <si>
    <t>Campagne de communication, exploitation des bâtiments en cas de forte chaleur à destination des ménages.</t>
  </si>
  <si>
    <t>Sur la base des coûts de la campagne "faisons vite, ça chauffe"</t>
  </si>
  <si>
    <t>Intégrer le surcoût "bâtiment durable" dans les bâtiments d'enseignement-recherche construits chaque année</t>
  </si>
  <si>
    <t>Flux d’investissement dans le renouvellement des infrastructures :</t>
  </si>
  <si>
    <t xml:space="preserve">Doter les gestionnaires d’infrastructures et leurs autorités régulatrices des moyens de connaître leurs vulnérabilités et de piloter l’adaptation, notamment au sein de la gestion patrimoniale des réseaux </t>
  </si>
  <si>
    <t>% de surcoût lors des opérations de modernisation ou de construction – besoin d’accélérer les rythmes de rénovation :</t>
  </si>
  <si>
    <r>
      <rPr>
        <b/>
        <sz val="12"/>
        <color theme="1"/>
        <rFont val="Calibri"/>
        <family val="2"/>
        <scheme val="minor"/>
      </rPr>
      <t>Coûts curatifs</t>
    </r>
    <r>
      <rPr>
        <sz val="12"/>
        <color theme="1"/>
        <rFont val="Calibri"/>
        <family val="2"/>
        <scheme val="minor"/>
      </rPr>
      <t xml:space="preserve"> 
ex. +5% sur le budget rénovation pour les routes d'ici 2050</t>
    </r>
  </si>
  <si>
    <t>Transport</t>
  </si>
  <si>
    <t xml:space="preserve">Prévoir une première enveloppe pour financer des actions ciblées pour traiter les points critiques de vulnérabilité sur les réseaux de transport </t>
  </si>
  <si>
    <r>
      <rPr>
        <b/>
        <sz val="12"/>
        <color theme="1"/>
        <rFont val="Calibri"/>
        <family val="2"/>
        <scheme val="minor"/>
      </rPr>
      <t xml:space="preserve">Pertes d’exploitation
</t>
    </r>
    <r>
      <rPr>
        <sz val="12"/>
        <color theme="1"/>
        <rFont val="Calibri"/>
        <family val="2"/>
        <scheme val="minor"/>
      </rPr>
      <t>ex.  Pertes de revenus induites par l’impossibilité pour certains avions de décoller du fait de vagues de chaleur à horizon 2050.</t>
    </r>
  </si>
  <si>
    <t>Réseaux d'eau</t>
  </si>
  <si>
    <r>
      <rPr>
        <b/>
        <sz val="12"/>
        <color theme="1"/>
        <rFont val="Calibri"/>
        <family val="2"/>
        <scheme val="minor"/>
      </rPr>
      <t xml:space="preserve">Coûts socio-économiques
</t>
    </r>
    <r>
      <rPr>
        <sz val="12"/>
        <color theme="1"/>
        <rFont val="Calibri"/>
        <family val="2"/>
        <scheme val="minor"/>
      </rPr>
      <t>ex. Interruption pendant 2 mois de la liaison ferroviaire Brest-Morlaix</t>
    </r>
  </si>
  <si>
    <t>Réseaux éléctriques</t>
  </si>
  <si>
    <t xml:space="preserve">Accélérer encore les investissements dans la rénovation des réseaux d’eau pour progressivement atteindre </t>
  </si>
  <si>
    <t>Infrastructure concernée</t>
  </si>
  <si>
    <t>Energie</t>
  </si>
  <si>
    <t xml:space="preserve">Investissement RTE entre 2002 et 2017 pour « mettre en œuvre un important programme de sécurisation mécanique des ouvrages vulnérables aux évènements climatiques » </t>
  </si>
  <si>
    <t>Cour des comptes 2019, 46</t>
  </si>
  <si>
    <t>Investissement dans la maintenance et la modernisation des réseaux, RTE, 2018</t>
  </si>
  <si>
    <t>RTE</t>
  </si>
  <si>
    <t>Investissement dans la maintenance et la modernisation des réseaux, Enedis, 2020</t>
  </si>
  <si>
    <t>Enedis</t>
  </si>
  <si>
    <t xml:space="preserve">Dépenses d’investissement prévues dans l’infrastructure de réseau de transport
Investissements répertoriés dans le SDDR sur 15 ans : 33 milliards d'euros. </t>
  </si>
  <si>
    <t xml:space="preserve">Schéma décennal de développement du réseau, RTE, 2019, P46 </t>
  </si>
  <si>
    <t>Dépenses d’investissement prévues dans l’infrastructure de réseau de distribution
Investissements annoncés par ENEDIS sur 15 ans : 69 milliards d'euros</t>
  </si>
  <si>
    <t>Cours des comptes, Contrôle des comptes et de la gestion d'ENEDIS, 2020, P63</t>
  </si>
  <si>
    <t xml:space="preserve">Coûts curatifs : +5% sur le budget rénovation pour les routes </t>
  </si>
  <si>
    <t>Carbone 4, 2022,4</t>
  </si>
  <si>
    <t>Pertes d’exploitation-: pertes de revenus induites par l’impossibilité pour certains avions de décoller du fait de vagues de chaleur à horizon 2050.</t>
  </si>
  <si>
    <t xml:space="preserve"> Carbone 4 2022, 28</t>
  </si>
  <si>
    <t>Coûts socio-économiques : ex. Interruption pendant 2 mois de la liaison ferroviaire Brest-Morlaix</t>
  </si>
  <si>
    <t>CGDD 2017, 11</t>
  </si>
  <si>
    <t>Investissement actuel dans la modernisation des infrastructures de transports</t>
  </si>
  <si>
    <t>COI 2022</t>
  </si>
  <si>
    <t>Effort annuel nécéssaire à la modernisation des infrastructures de transports</t>
  </si>
  <si>
    <t>Investissement dans le réseau routier nécéssaire pour garantir un bon niveau d'adaptation</t>
  </si>
  <si>
    <t>%/an</t>
  </si>
  <si>
    <t>Carbone 4, 2022</t>
  </si>
  <si>
    <t xml:space="preserve">Besoin d'investissement pour rattraper le retard de rénovation des ouvrages, pour au moins 10 ans.  </t>
  </si>
  <si>
    <t>110 à 120</t>
  </si>
  <si>
    <t>Chaize et Dagbert 2019</t>
  </si>
  <si>
    <t>Besoin d'investissement actuel dans la rénovation des ouvrages, dans les années 2010</t>
  </si>
  <si>
    <t>Chaize et Dagbert 2019, 60</t>
  </si>
  <si>
    <t>Montant dédié à l'infrastructure Bill américain de 2021 fléché vers la résilience climatique</t>
  </si>
  <si>
    <t>Mds$</t>
  </si>
  <si>
    <t>White House 2021</t>
  </si>
  <si>
    <t>Taux de fuite sur les réseaux d'eau potable</t>
  </si>
  <si>
    <t>OFB 2021</t>
  </si>
  <si>
    <t>Investissement dans la rénovation des réseaux d'eau, valeur 2018</t>
  </si>
  <si>
    <t>Assises de l'eau 2018 (documents préparatoires)</t>
  </si>
  <si>
    <t>Augmentation des aides des agences de l'eau pour accompagner les territoires ruraux dans leurs travaux, moblisées au sein du 11ème programme des agences de l'eau</t>
  </si>
  <si>
    <t>Gouvernement, 2019</t>
  </si>
  <si>
    <t xml:space="preserve">Subventions pour mettre en place des contrats de progrès </t>
  </si>
  <si>
    <t>Aquaprêt de la Banque des Territoire, montant disponible</t>
  </si>
  <si>
    <t>Aide pour les collectivités à disposer d'une meilleure connaissance de leur patrimoine d'eau et d'assainissement</t>
  </si>
  <si>
    <t>Besoin complémentaire pour l’ensemble de la politique nationale de réinvestissement dans les services publics de l’eau</t>
  </si>
  <si>
    <t>FP2E 2022, 11</t>
  </si>
  <si>
    <t>Investissements nécéssaires pour passer d'un renouvelement des réseaux d'eau de 160 ans à 80 ans</t>
  </si>
  <si>
    <t>Carbone 4 2022, 41</t>
  </si>
  <si>
    <t>Interdépendance</t>
  </si>
  <si>
    <t>Organisation en 2015 de l’exercice Sequana par la Préfecture de police de Paris (exercice incluant les gestionnaires d’infrastructures mais pas uniquement) , dont 54% esy porté par des fonds européens</t>
  </si>
  <si>
    <t>Commission européenne</t>
  </si>
  <si>
    <r>
      <t xml:space="preserve">Hypothèse
</t>
    </r>
    <r>
      <rPr>
        <sz val="12"/>
        <rFont val="Calibri"/>
        <family val="2"/>
        <scheme val="minor"/>
      </rPr>
      <t>Besoin pour traiter par des opérations ciblées sur les points de vulnérabilité bien connus par les gestionnaires.</t>
    </r>
  </si>
  <si>
    <t>Ce chiffre équivaut à 2,5% de l’enveloppe totale d’investissement public annuel dans les infrastructures de transport. C’est une proportion comparable à ce que l’on a pu observer dans d’autres pays.</t>
  </si>
  <si>
    <r>
      <t xml:space="preserve">Hypothèse
</t>
    </r>
    <r>
      <rPr>
        <sz val="12"/>
        <rFont val="Calibri"/>
        <family val="2"/>
        <scheme val="minor"/>
      </rPr>
      <t>Surcoût nécéssaire à une hausse du niveau de robustesse des réseaux de transport</t>
    </r>
  </si>
  <si>
    <t>Fourchette haute</t>
  </si>
  <si>
    <t xml:space="preserve">hypothèse cohérente avec les chiffres retenus par la Commission Européenne dans sa Stratégie d’adaptation de 2021 </t>
  </si>
  <si>
    <t>Fourchette basse</t>
  </si>
  <si>
    <r>
      <rPr>
        <b/>
        <sz val="12"/>
        <color theme="1"/>
        <rFont val="Calibri"/>
        <family val="2"/>
        <scheme val="minor"/>
      </rPr>
      <t>Hypothèse</t>
    </r>
    <r>
      <rPr>
        <sz val="12"/>
        <color theme="1"/>
        <rFont val="Calibri"/>
        <family val="2"/>
        <scheme val="minor"/>
      </rPr>
      <t xml:space="preserve">
Surcoût nécéssaire à une hausse du niveau de robustesse des réseaux de transport, sans ciblage des vulnérabilités</t>
    </r>
  </si>
  <si>
    <r>
      <rPr>
        <b/>
        <sz val="12"/>
        <color theme="1"/>
        <rFont val="Calibri"/>
        <family val="2"/>
        <scheme val="minor"/>
      </rPr>
      <t>Hypothèse</t>
    </r>
    <r>
      <rPr>
        <sz val="12"/>
        <color theme="1"/>
        <rFont val="Calibri"/>
        <family val="2"/>
        <scheme val="minor"/>
      </rPr>
      <t xml:space="preserve">
Besoin de réalisation d'études régionales, prix par régions</t>
    </r>
  </si>
  <si>
    <t>k€</t>
  </si>
  <si>
    <r>
      <rPr>
        <b/>
        <sz val="12"/>
        <color theme="1"/>
        <rFont val="Calibri"/>
        <family val="2"/>
        <scheme val="minor"/>
      </rPr>
      <t>Hypothèse</t>
    </r>
    <r>
      <rPr>
        <sz val="12"/>
        <color theme="1"/>
        <rFont val="Calibri"/>
        <family val="2"/>
        <scheme val="minor"/>
      </rPr>
      <t xml:space="preserve">
Premières études d'approfondissement par axe à enjeu</t>
    </r>
  </si>
  <si>
    <t>100 à 200</t>
  </si>
  <si>
    <t>k€/axe ou infrastructure spécifique</t>
  </si>
  <si>
    <t xml:space="preserve">Plus de 150 axes ou infrastructures spécifiques peuvent être identifiés et pourraient chacun nécessiter des approfondissements d’analyse ; chaque étude pouvant coûter de quelques dizaines à quelques centaines de milliers d’euros. </t>
  </si>
  <si>
    <r>
      <t xml:space="preserve">Hypothèse
</t>
    </r>
    <r>
      <rPr>
        <sz val="12"/>
        <rFont val="Calibri"/>
        <family val="2"/>
        <scheme val="minor"/>
      </rPr>
      <t>Surcoût nécéssaire à une hausse du niveau de robustesse des réseaux éléctriques</t>
    </r>
  </si>
  <si>
    <t xml:space="preserve">Sur la base de Hallegatte et Al. 2019 </t>
  </si>
  <si>
    <r>
      <rPr>
        <b/>
        <sz val="12"/>
        <color theme="1"/>
        <rFont val="Calibri"/>
        <family val="2"/>
        <scheme val="minor"/>
      </rPr>
      <t>Hypothèse</t>
    </r>
    <r>
      <rPr>
        <sz val="12"/>
        <color theme="1"/>
        <rFont val="Calibri"/>
        <family val="2"/>
        <scheme val="minor"/>
      </rPr>
      <t xml:space="preserve">
Animation d'espaces d'échange et de coordination</t>
    </r>
  </si>
  <si>
    <t>2 ETP nationaux, et 1 ETP de référents par Région</t>
  </si>
  <si>
    <t>Une enveloppe pour traiter par des opérations ciblées les points de vulnérabilité bien connus par les gestionnaires.</t>
  </si>
  <si>
    <t>Suivant hypothèse ci-dessus</t>
  </si>
  <si>
    <t>Coût d’un surcroît de robustesse pour la prise en compte du changement climatique
sur la base d’un scénario d’investissement prolongeant les tendances récentes.</t>
  </si>
  <si>
    <t>Coût d’un surcroît de robustesse pour la prise en compte du changement climatique
sur la base du besoin d’investissement affiché par le COI.</t>
  </si>
  <si>
    <t>Coût d’un surcroît de robustesse pour la prise en compte du changement climatique, sans ciblage des points de vulnérabilité.
Sur la base d’un scénario d’investissement prolongeant les tendances récentes.</t>
  </si>
  <si>
    <t>Coût d’un surcroît de robustesse pour la prise en compte du changement climatique, sans ciblage des points de vulnérabilité.
Sur la base du besoin d’investissement affiché par le COI.</t>
  </si>
  <si>
    <t>Coût de réalisation d'études régionales (18 régions)</t>
  </si>
  <si>
    <t>Coût premières études d’approfondissement par axe à enjeu</t>
  </si>
  <si>
    <t>Suivant hypothèses ci-dessus - flux annualisé sur 4 ans</t>
  </si>
  <si>
    <t>Coût Internalisation des compétences chez les gestionnaires et poursuite de la conduite d’études ad-hoc par axe et par enjeu</t>
  </si>
  <si>
    <t>Hypothèse I4CE</t>
  </si>
  <si>
    <r>
      <rPr>
        <b/>
        <sz val="12"/>
        <color theme="1"/>
        <rFont val="Calibri"/>
        <family val="2"/>
        <scheme val="minor"/>
      </rPr>
      <t>Réseau de transport (RTE)</t>
    </r>
    <r>
      <rPr>
        <sz val="12"/>
        <color theme="1"/>
        <rFont val="Calibri"/>
        <family val="2"/>
        <scheme val="minor"/>
      </rPr>
      <t xml:space="preserve">
Coût d’un surcroît de robustesse pour la prise en compte du changement climatique
Sur la base d’un scénario d’investissement prolongeant les tendances récentes.</t>
    </r>
  </si>
  <si>
    <t>Pendant les 15 prochaines années</t>
  </si>
  <si>
    <r>
      <rPr>
        <b/>
        <sz val="12"/>
        <color theme="1"/>
        <rFont val="Calibri"/>
        <family val="2"/>
        <scheme val="minor"/>
      </rPr>
      <t>Réseau de de distribution (Enedis)</t>
    </r>
    <r>
      <rPr>
        <sz val="12"/>
        <color theme="1"/>
        <rFont val="Calibri"/>
        <family val="2"/>
        <scheme val="minor"/>
      </rPr>
      <t xml:space="preserve">
Coût d’un surcroît de robustesse pour la prise en compte du changement climatique
Sur la base d’un scénario d’investissement prolongeant les tendances récentes.</t>
    </r>
  </si>
  <si>
    <t>Coût d'animation d'espaces d'échange et de coordination</t>
  </si>
  <si>
    <t>Budget dont disposerait une instance nationale pour conduire des études mutualisées ; travailler sur des actions communes ou organiser des exercices de simulation de crises</t>
  </si>
  <si>
    <t>Quelques millions d’euros par an d’ingénierie , des appels à projets de recherche et des exemples ponctuels d’actions locales</t>
  </si>
  <si>
    <t xml:space="preserve">Doter les collectivités des moyens d’objectiver leurs vulnérabilités, d’élaborer et d’animer une stratégie d’adaptation de leur littoral </t>
  </si>
  <si>
    <t>Possiblement plusieurs milliards d’euros à investir pour transformer ces territoires – politiques d’aménagement et de développement territorial</t>
  </si>
  <si>
    <t>Au moins [0,8-8Mds€] de logements exposés (CEREMA 2019) + infrastructures publiques et actifs économiques non évalués à l’échelle nationale</t>
  </si>
  <si>
    <t>Créer un fonds d’aide à la recomposition du littoral</t>
  </si>
  <si>
    <t>Estimation nationale de la valeur des logements exposés</t>
  </si>
  <si>
    <t>0,8 à 8</t>
  </si>
  <si>
    <t>CEREMA 2019, 19</t>
  </si>
  <si>
    <t>Estimation des coûts de 4 trajectoires d'adaptation de la ville de Lacanau à l'évolution du trait de côte</t>
  </si>
  <si>
    <t>44 à 360</t>
  </si>
  <si>
    <t>GIP littoral, 2015</t>
  </si>
  <si>
    <t>Nombre de communes concernées par le risque d'érosion côtière</t>
  </si>
  <si>
    <t>Note du CEREMA (avril 2021)</t>
  </si>
  <si>
    <r>
      <rPr>
        <b/>
        <sz val="12"/>
        <color theme="1"/>
        <rFont val="Calibri"/>
        <family val="2"/>
        <scheme val="minor"/>
      </rPr>
      <t>Hypothèse</t>
    </r>
    <r>
      <rPr>
        <sz val="12"/>
        <color theme="1"/>
        <rFont val="Calibri"/>
        <family val="2"/>
        <scheme val="minor"/>
      </rPr>
      <t xml:space="preserve"> 
Cartographie initiale et préfiguration de la stratégie</t>
    </r>
  </si>
  <si>
    <t>k€/commune</t>
  </si>
  <si>
    <t>-CEREMA/ANEL : 500k€ du CEREMA &lt;=&gt; 50% du temps CEREMA/Collectivités pour 17 territoires initialement accompagnés soit environ 60k€ par territoire
-Avis d'expert GIP - étude initiale de 18 à 24 mois généralement à l'échelle de 1-3 communes connexes 50-60k€ par démarche (100-120k€ pour des regroupements de 8 à 10 communes)
-enveloppe initiale prévue par l'Etat dans le cadre de la mise en oeuvre de la Loi Climat Résilience de 2021 : 2M€ pour 126 communes</t>
  </si>
  <si>
    <r>
      <rPr>
        <b/>
        <sz val="12"/>
        <color theme="1"/>
        <rFont val="Calibri"/>
        <family val="2"/>
        <scheme val="minor"/>
      </rPr>
      <t>Hypothèse</t>
    </r>
    <r>
      <rPr>
        <sz val="12"/>
        <color theme="1"/>
        <rFont val="Calibri"/>
        <family val="2"/>
        <scheme val="minor"/>
      </rPr>
      <t xml:space="preserve"> de besoin d’internaliser des moyens humains au sein des communes concernées</t>
    </r>
  </si>
  <si>
    <t>ETP/commune</t>
  </si>
  <si>
    <r>
      <rPr>
        <b/>
        <sz val="12"/>
        <color theme="1"/>
        <rFont val="Calibri"/>
        <family val="2"/>
        <scheme val="minor"/>
      </rPr>
      <t>Hypothèse</t>
    </r>
    <r>
      <rPr>
        <sz val="12"/>
        <color theme="1"/>
        <rFont val="Calibri"/>
        <family val="2"/>
        <scheme val="minor"/>
      </rPr>
      <t xml:space="preserve"> de gouvernance régionale</t>
    </r>
  </si>
  <si>
    <t>ETP/région concernée</t>
  </si>
  <si>
    <t>Outre-mer inclus
GIP : 9 permanent + 1 correspondant à la région pour l'chelle Nouvelle Aquitaine</t>
  </si>
  <si>
    <r>
      <rPr>
        <b/>
        <sz val="12"/>
        <color theme="1"/>
        <rFont val="Calibri"/>
        <family val="2"/>
        <scheme val="minor"/>
      </rPr>
      <t>Hypothèse</t>
    </r>
    <r>
      <rPr>
        <sz val="12"/>
        <color theme="1"/>
        <rFont val="Calibri"/>
        <family val="2"/>
        <scheme val="minor"/>
      </rPr>
      <t xml:space="preserve"> de gouvernance locale</t>
    </r>
  </si>
  <si>
    <t>Suivant REX GIP littoral</t>
  </si>
  <si>
    <t>Nombre de régions concernées</t>
  </si>
  <si>
    <t>7 métropolitaines avec façade maritime + outre-mer</t>
  </si>
  <si>
    <r>
      <rPr>
        <b/>
        <sz val="12"/>
        <color theme="1"/>
        <rFont val="Calibri"/>
        <family val="2"/>
        <scheme val="minor"/>
      </rPr>
      <t>Hypothèse</t>
    </r>
    <r>
      <rPr>
        <sz val="12"/>
        <color theme="1"/>
        <rFont val="Calibri"/>
        <family val="2"/>
        <scheme val="minor"/>
      </rPr>
      <t>, besoins pour les actions immédiates, gérer les urgences et premières mesures</t>
    </r>
  </si>
  <si>
    <t>M€/commune sur 5 ans</t>
  </si>
  <si>
    <t>Avis d'experts et différents rex (Vias, Biscarosse…) de 1 à 5M€ sur les 5 premières années</t>
  </si>
  <si>
    <t>Besoins initiaux pour réaliser une cartographie détaillée des risques et préfigurer une stratégie locale</t>
  </si>
  <si>
    <t>Besoin de moyens humains dans les communes concernées</t>
  </si>
  <si>
    <t xml:space="preserve">Besoin pour la gouvernance et des capacités d’appuis régionales </t>
  </si>
  <si>
    <t>Besoins totaux pour les actions immédiates, gérer les urgences et premières mesures</t>
  </si>
  <si>
    <t>100 à 150 M€/an</t>
  </si>
  <si>
    <t>Soutien au renouvellement forestier</t>
  </si>
  <si>
    <t>« 30 % des surfaces forestières sont aujourd’hui fragilisées ou menacées par le changement climatique soit plus de 5 millions d’hectares » (Ministère de l’Agriculture et de l’Alimentation 2020)</t>
  </si>
  <si>
    <t xml:space="preserve">La filière bois représente 1,1 % du PIB
De 2018 à 2021 : 10 millions de m³ et 30 000 ha de bois scolytés </t>
  </si>
  <si>
    <t>investissement pour l’innovation et la compétitivité de la filière</t>
  </si>
  <si>
    <t>Investissement annoncé dédié au renouvellement forestier entre 2021 et 2030</t>
  </si>
  <si>
    <t>entre 1,1 et 1,4</t>
  </si>
  <si>
    <t>Gouvernement, 2022</t>
  </si>
  <si>
    <t xml:space="preserve">Besoin d’investissement pour les industries et entreprises du secteur bois matériaux et ameublement </t>
  </si>
  <si>
    <t>Mds€/an su 5 ans</t>
  </si>
  <si>
    <t>CSF Bois 2021</t>
  </si>
  <si>
    <t>Investissement France 2030 pour « assurer l’innovation et la compétitivité de la filière industrielle bois-forêt »</t>
  </si>
  <si>
    <t>Clôture des assises de la forêt et du bois, Gouvernement, 2022</t>
  </si>
  <si>
    <t>Investissement France Relance dans le renouvellement forestier</t>
  </si>
  <si>
    <t>M€ sur deux ans</t>
  </si>
  <si>
    <t>Estimation des moyens nécessaires à la mise en œuvre des différentes actions de la Feuille de route pour l’adaptation des forêts au changement climatique :</t>
  </si>
  <si>
    <t>Renforcement et extension des réseaux d’observation type Renecofor</t>
  </si>
  <si>
    <t>I4CE, 2022 (à paraître)</t>
  </si>
  <si>
    <t xml:space="preserve">Structuration et animation d’un pôle de compétences en sciences économiques, humaines et sociales </t>
  </si>
  <si>
    <t>Renforcement de l’effort de promotion de l’expérimentation en forêt accompagné par la recherche scientifique ( 5 à 12 M€/an)</t>
  </si>
  <si>
    <t>Étendre les activités du RMT Aforce et les capacités de la filière à animer la recherche entre recherche et gestion forestière</t>
  </si>
  <si>
    <t>Élargir le soutien aux enjeux d’investissement sylvicoles hors-renouvellement forestier (ex. irrégularisation des peuplements)</t>
  </si>
  <si>
    <t>Conforter la veille et le suivi sanitaire, organiser la gestion de crises (renforcer les réseaux de correspondants observateurs du DSF, développer les capacités d’analyse, créer et animer une cellule de gestion de crise nationale</t>
  </si>
  <si>
    <t>Renforcer le dialogue et la concertation, développer l’animation et la médiation entre acteurs au sein des territoires (multiplication des ateliers et temps déchange entre professionnels de la filière et société civile, systématisation des démarches de concertation en amont des projets forestiers, accompagnement des élus locaux à la médiation, etc.)</t>
  </si>
  <si>
    <t>Le détail par action de la Feuille de route pour l'adaptation des forêts au changement climatique sera disponible dans une publication dédiée en septembre 2022</t>
  </si>
  <si>
    <t>Le fonds avenir montagne (ingénierie et investissement). Sur 2 ans (2021/2022)</t>
  </si>
  <si>
    <t xml:space="preserve">Pérenniser la part Etat du fond "Avenir Montagne investissement", inciter les Régions à faire de même (pour aboutir à un total de 150 M€/an) et flécher les investissements vers les projets contribuants à l’adaptation </t>
  </si>
  <si>
    <t>317 stations
20 000 emplois
20 Mds€/an de retombées économiques menacées</t>
  </si>
  <si>
    <t>Les plans montagnes des régions</t>
  </si>
  <si>
    <t xml:space="preserve">Pérenniser le fonds "Avenir Montagne Ingénierie" et renforcer les moyens d’animation pour répondre aux besoins d'accompagnement des territoires de montagne en matière d'adaptation </t>
  </si>
  <si>
    <t>Montant total du fonds avenir montagne</t>
  </si>
  <si>
    <t>M€/an sur 2 ans</t>
  </si>
  <si>
    <t>- dont investissement</t>
  </si>
  <si>
    <t>- dont part Etat (50/50 Etat/Régions)</t>
  </si>
  <si>
    <t>- dont volet ingénierie</t>
  </si>
  <si>
    <t>Nombre de stations de ski en France</t>
  </si>
  <si>
    <t>Stations</t>
  </si>
  <si>
    <t>STRMTG, 2019</t>
  </si>
  <si>
    <t>Flux d'investissement en installations nouvelles (remontées mécaniques), 2019</t>
  </si>
  <si>
    <t>Nombre d'études ClimSnow déjà réalisées</t>
  </si>
  <si>
    <t>Etudes</t>
  </si>
  <si>
    <t>ClimSnow</t>
  </si>
  <si>
    <t>Coût d'une étude de diagnostic de l'enneigement, type ClimSnow</t>
  </si>
  <si>
    <t>Suivant REX</t>
  </si>
  <si>
    <r>
      <rPr>
        <b/>
        <sz val="12"/>
        <color theme="1"/>
        <rFont val="Calibri"/>
        <family val="2"/>
        <scheme val="minor"/>
      </rPr>
      <t xml:space="preserve">Hypothèse - Moyens humains
</t>
    </r>
    <r>
      <rPr>
        <sz val="12"/>
        <color theme="1"/>
        <rFont val="Calibri"/>
        <family val="2"/>
        <scheme val="minor"/>
      </rPr>
      <t>2 ETP dans les 5 commissariats de massif, et 2 ETP d'animation nationale</t>
    </r>
  </si>
  <si>
    <t>Suivant avis d'expert</t>
  </si>
  <si>
    <r>
      <rPr>
        <b/>
        <sz val="12"/>
        <color theme="1"/>
        <rFont val="Calibri"/>
        <family val="2"/>
        <scheme val="minor"/>
      </rPr>
      <t>Besoins ingenierie pour préparer le terrain</t>
    </r>
    <r>
      <rPr>
        <sz val="12"/>
        <color theme="1"/>
        <rFont val="Calibri"/>
        <family val="2"/>
        <scheme val="minor"/>
      </rPr>
      <t xml:space="preserve">
A minima péréniser le Fonds Avenir Montagne, Volet ingénierie</t>
    </r>
  </si>
  <si>
    <r>
      <rPr>
        <b/>
        <sz val="12"/>
        <color theme="1"/>
        <rFont val="Calibri"/>
        <family val="2"/>
        <scheme val="minor"/>
      </rPr>
      <t>Besoins d'investissement pour initier les premières transformations</t>
    </r>
    <r>
      <rPr>
        <sz val="12"/>
        <color theme="1"/>
        <rFont val="Calibri"/>
        <family val="2"/>
        <scheme val="minor"/>
      </rPr>
      <t xml:space="preserve">
A minima péréniser le Fonds Avenir Montagne, volet investissement, part Etat</t>
    </r>
  </si>
  <si>
    <t>Moyens humains, suivant les hypothèses ci-dessus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</si>
</sst>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164" formatCode="0.0%"/>
    <numFmt numFmtId="165" formatCode="#,##0_ ;\-#,##0\ "/>
    <numFmt numFmtId="166" formatCode="#,##0.0"/>
    <numFmt numFmtId="167" formatCode="0.0"/>
    <numFmt numFmtId="168" formatCode="#,##0.00_ ;\-#,##0.00\ "/>
    <numFmt numFmtId="169" formatCode="#,##0.0&quot; Mds€/an&quot;"/>
    <numFmt numFmtId="170" formatCode="#,##0&quot; M€/an&quot;"/>
    <numFmt numFmtId="171" formatCode="#,##0&quot; Mds€/an&quot;"/>
    <numFmt numFmtId="172" formatCode="#,##0.00&quot; Mds€/an&quot;"/>
    <numFmt numFmtId="173" formatCode="#,##0&quot; M€&quot;"/>
    <numFmt numFmtId="174" formatCode="#,##0.0&quot; M€&quot;"/>
    <numFmt numFmtId="175" formatCode="#,##0.0&quot; M€/an&quot;"/>
    <numFmt numFmtId="176" formatCode="#,##0&quot; Mds€&quot;"/>
  </numFmts>
  <fonts count="3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rgb="FF000000"/>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2"/>
      <color theme="1"/>
      <name val="Calibri"/>
      <family val="2"/>
      <scheme val="minor"/>
    </font>
    <font>
      <sz val="18"/>
      <color theme="0"/>
      <name val="Century Gothic"/>
      <family val="1"/>
    </font>
    <font>
      <b/>
      <sz val="18"/>
      <color theme="0"/>
      <name val="Century Gothic"/>
      <family val="1"/>
    </font>
    <font>
      <sz val="18"/>
      <color theme="1"/>
      <name val="Calibri"/>
      <family val="2"/>
      <scheme val="minor"/>
    </font>
    <font>
      <u/>
      <sz val="12"/>
      <color theme="10"/>
      <name val="Calibri"/>
      <family val="2"/>
      <scheme val="minor"/>
    </font>
    <font>
      <b/>
      <sz val="12"/>
      <color theme="0"/>
      <name val="Calibri"/>
      <family val="2"/>
      <scheme val="minor"/>
    </font>
    <font>
      <b/>
      <sz val="11"/>
      <color rgb="FFFF0000"/>
      <name val="Calibri"/>
      <family val="2"/>
      <scheme val="minor"/>
    </font>
    <font>
      <b/>
      <sz val="12"/>
      <color theme="1"/>
      <name val="Calibri"/>
      <family val="2"/>
      <scheme val="minor"/>
    </font>
    <font>
      <sz val="12"/>
      <color rgb="FFFF0000"/>
      <name val="Calibri"/>
      <family val="2"/>
      <scheme val="minor"/>
    </font>
    <font>
      <sz val="12"/>
      <name val="Calibri"/>
      <family val="2"/>
      <scheme val="minor"/>
    </font>
    <font>
      <sz val="11"/>
      <name val="Calibri"/>
      <family val="2"/>
      <scheme val="minor"/>
    </font>
    <font>
      <b/>
      <sz val="12"/>
      <color rgb="FFFF0000"/>
      <name val="Calibri"/>
      <family val="2"/>
      <scheme val="minor"/>
    </font>
    <font>
      <b/>
      <sz val="12"/>
      <name val="Calibri"/>
      <family val="2"/>
      <scheme val="minor"/>
    </font>
    <font>
      <sz val="12"/>
      <color rgb="FF404041"/>
      <name val="Calibri"/>
      <family val="2"/>
      <scheme val="minor"/>
    </font>
    <font>
      <sz val="18"/>
      <color theme="0"/>
      <name val="Calibri"/>
      <family val="2"/>
      <scheme val="minor"/>
    </font>
    <font>
      <b/>
      <sz val="14"/>
      <color theme="0"/>
      <name val="Calibri"/>
      <family val="2"/>
      <scheme val="minor"/>
    </font>
    <font>
      <b/>
      <sz val="20"/>
      <color theme="0"/>
      <name val="Calibri"/>
      <family val="2"/>
      <scheme val="minor"/>
    </font>
    <font>
      <b/>
      <sz val="14"/>
      <color rgb="FF000000"/>
      <name val="Calibri"/>
      <family val="2"/>
      <scheme val="minor"/>
    </font>
    <font>
      <b/>
      <sz val="14"/>
      <name val="Calibri"/>
      <family val="2"/>
      <scheme val="minor"/>
    </font>
    <font>
      <b/>
      <sz val="12"/>
      <color rgb="FF404041"/>
      <name val="Calibri"/>
      <family val="2"/>
      <scheme val="minor"/>
    </font>
    <font>
      <b/>
      <sz val="14"/>
      <color theme="1"/>
      <name val="Calibri"/>
      <family val="2"/>
      <scheme val="minor"/>
    </font>
    <font>
      <sz val="12"/>
      <color rgb="FF000000"/>
      <name val="Calibri"/>
      <family val="2"/>
      <scheme val="minor"/>
    </font>
    <font>
      <sz val="10"/>
      <color rgb="FF000000"/>
      <name val="Tahoma"/>
      <family val="2"/>
    </font>
  </fonts>
  <fills count="12">
    <fill>
      <patternFill patternType="none"/>
    </fill>
    <fill>
      <patternFill patternType="gray125"/>
    </fill>
    <fill>
      <patternFill patternType="solid">
        <fgColor theme="5" tint="0.79998168889431442"/>
        <bgColor indexed="64"/>
      </patternFill>
    </fill>
    <fill>
      <patternFill patternType="solid">
        <fgColor theme="3" tint="-0.499984740745262"/>
        <bgColor indexed="64"/>
      </patternFill>
    </fill>
    <fill>
      <patternFill patternType="solid">
        <fgColor theme="0"/>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rgb="FFFFFFFF"/>
        <bgColor indexed="64"/>
      </patternFill>
    </fill>
    <fill>
      <patternFill patternType="solid">
        <fgColor theme="7" tint="0.59999389629810485"/>
        <bgColor indexed="64"/>
      </patternFill>
    </fill>
    <fill>
      <patternFill patternType="solid">
        <fgColor theme="3"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8">
    <xf numFmtId="0" fontId="0" fillId="0" borderId="0"/>
    <xf numFmtId="0" fontId="5" fillId="0" borderId="0"/>
    <xf numFmtId="44" fontId="8" fillId="0" borderId="0" applyFont="0" applyFill="0" applyBorder="0" applyAlignment="0" applyProtection="0"/>
    <xf numFmtId="9" fontId="8" fillId="0" borderId="0" applyFont="0" applyFill="0" applyBorder="0" applyAlignment="0" applyProtection="0"/>
    <xf numFmtId="0" fontId="8" fillId="0" borderId="0"/>
    <xf numFmtId="0" fontId="3" fillId="0" borderId="0"/>
    <xf numFmtId="0" fontId="12" fillId="0" borderId="0" applyNumberFormat="0" applyFill="0" applyBorder="0" applyAlignment="0" applyProtection="0"/>
    <xf numFmtId="0" fontId="2" fillId="0" borderId="0"/>
  </cellStyleXfs>
  <cellXfs count="297">
    <xf numFmtId="0" fontId="0" fillId="0" borderId="0" xfId="0"/>
    <xf numFmtId="0" fontId="4" fillId="0" borderId="0" xfId="0" applyFont="1" applyAlignment="1">
      <alignment horizontal="left" vertical="center" readingOrder="1"/>
    </xf>
    <xf numFmtId="0" fontId="3" fillId="0" borderId="0" xfId="0" applyFont="1"/>
    <xf numFmtId="0" fontId="6" fillId="0" borderId="0" xfId="0" applyFont="1" applyAlignment="1">
      <alignment vertical="top"/>
    </xf>
    <xf numFmtId="0" fontId="10" fillId="3" borderId="0" xfId="4" applyFont="1" applyFill="1" applyAlignment="1">
      <alignment horizontal="left" vertical="center"/>
    </xf>
    <xf numFmtId="0" fontId="9" fillId="3" borderId="0" xfId="5" applyFont="1" applyFill="1" applyAlignment="1">
      <alignment vertical="center"/>
    </xf>
    <xf numFmtId="0" fontId="0" fillId="0" borderId="1" xfId="0" applyBorder="1"/>
    <xf numFmtId="0" fontId="0" fillId="0" borderId="0" xfId="0" applyAlignment="1">
      <alignment vertical="center"/>
    </xf>
    <xf numFmtId="0" fontId="0" fillId="0" borderId="1" xfId="0" applyBorder="1" applyAlignment="1">
      <alignment horizontal="center" vertical="center"/>
    </xf>
    <xf numFmtId="164" fontId="0" fillId="0" borderId="1" xfId="3" applyNumberFormat="1" applyFont="1" applyBorder="1" applyAlignment="1">
      <alignment horizontal="center" vertical="center"/>
    </xf>
    <xf numFmtId="0" fontId="0" fillId="0" borderId="1" xfId="0" applyBorder="1" applyAlignment="1">
      <alignment horizontal="center" vertical="center" wrapText="1"/>
    </xf>
    <xf numFmtId="0" fontId="16" fillId="0" borderId="0" xfId="0" applyFont="1" applyAlignment="1">
      <alignment vertical="center"/>
    </xf>
    <xf numFmtId="1" fontId="0" fillId="0" borderId="1" xfId="2" applyNumberFormat="1" applyFont="1" applyBorder="1" applyAlignment="1">
      <alignment horizontal="center" vertical="center"/>
    </xf>
    <xf numFmtId="3" fontId="0" fillId="0" borderId="1" xfId="0" applyNumberFormat="1" applyBorder="1" applyAlignment="1">
      <alignment horizontal="center" vertical="center"/>
    </xf>
    <xf numFmtId="0" fontId="0" fillId="0" borderId="0" xfId="0" applyAlignment="1">
      <alignment wrapText="1"/>
    </xf>
    <xf numFmtId="0" fontId="0" fillId="0" borderId="0" xfId="0" applyAlignment="1">
      <alignment vertical="center" wrapText="1"/>
    </xf>
    <xf numFmtId="3" fontId="0" fillId="0" borderId="1" xfId="3" applyNumberFormat="1" applyFont="1" applyBorder="1" applyAlignment="1">
      <alignment horizontal="center" vertical="center"/>
    </xf>
    <xf numFmtId="3" fontId="0" fillId="0" borderId="1" xfId="2" applyNumberFormat="1" applyFont="1" applyBorder="1" applyAlignment="1">
      <alignment horizontal="center" vertical="center"/>
    </xf>
    <xf numFmtId="0" fontId="0" fillId="0" borderId="1" xfId="3" applyNumberFormat="1" applyFont="1" applyBorder="1" applyAlignment="1">
      <alignment horizontal="center" vertical="center"/>
    </xf>
    <xf numFmtId="166" fontId="0" fillId="0" borderId="1" xfId="3" applyNumberFormat="1" applyFont="1" applyBorder="1" applyAlignment="1">
      <alignment horizontal="center" vertical="center"/>
    </xf>
    <xf numFmtId="3" fontId="0" fillId="0" borderId="1" xfId="3" applyNumberFormat="1" applyFont="1" applyFill="1" applyBorder="1" applyAlignment="1">
      <alignment horizontal="center" vertical="center"/>
    </xf>
    <xf numFmtId="0" fontId="0" fillId="0" borderId="1" xfId="0" applyBorder="1" applyAlignment="1">
      <alignment horizontal="center"/>
    </xf>
    <xf numFmtId="4" fontId="0" fillId="0" borderId="1" xfId="3" applyNumberFormat="1" applyFont="1" applyBorder="1" applyAlignment="1">
      <alignment horizontal="center" vertical="center"/>
    </xf>
    <xf numFmtId="3" fontId="0" fillId="4" borderId="1" xfId="2" applyNumberFormat="1" applyFont="1" applyFill="1" applyBorder="1" applyAlignment="1">
      <alignment horizontal="center" vertical="center"/>
    </xf>
    <xf numFmtId="166" fontId="0" fillId="4" borderId="1" xfId="2" applyNumberFormat="1" applyFont="1" applyFill="1" applyBorder="1" applyAlignment="1">
      <alignment horizontal="center" vertical="center"/>
    </xf>
    <xf numFmtId="9" fontId="0" fillId="0" borderId="1" xfId="3" applyFont="1" applyBorder="1" applyAlignment="1">
      <alignment horizontal="center" vertical="center"/>
    </xf>
    <xf numFmtId="166" fontId="0" fillId="0" borderId="1" xfId="2" applyNumberFormat="1" applyFont="1" applyBorder="1" applyAlignment="1">
      <alignment horizontal="center" vertical="center"/>
    </xf>
    <xf numFmtId="167" fontId="0" fillId="0" borderId="1" xfId="2" applyNumberFormat="1" applyFont="1" applyBorder="1" applyAlignment="1">
      <alignment horizontal="center" vertical="center"/>
    </xf>
    <xf numFmtId="0" fontId="4" fillId="4" borderId="0" xfId="0" applyFont="1" applyFill="1" applyAlignment="1">
      <alignment horizontal="left" vertical="center" readingOrder="1"/>
    </xf>
    <xf numFmtId="0" fontId="0" fillId="4" borderId="0" xfId="0" applyFill="1"/>
    <xf numFmtId="165" fontId="8" fillId="0" borderId="1" xfId="2" applyNumberFormat="1" applyFont="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1" fontId="17" fillId="0" borderId="1" xfId="2" applyNumberFormat="1" applyFont="1" applyBorder="1" applyAlignment="1">
      <alignment horizontal="center" vertical="center"/>
    </xf>
    <xf numFmtId="0" fontId="17" fillId="0" borderId="1" xfId="0" applyFont="1" applyBorder="1" applyAlignment="1">
      <alignment horizontal="center" vertical="center"/>
    </xf>
    <xf numFmtId="1" fontId="17" fillId="4" borderId="1" xfId="2" applyNumberFormat="1" applyFont="1" applyFill="1" applyBorder="1" applyAlignment="1">
      <alignment horizontal="center" vertical="center"/>
    </xf>
    <xf numFmtId="0" fontId="7" fillId="0" borderId="1" xfId="0" applyFont="1" applyBorder="1" applyAlignment="1">
      <alignment horizontal="justify" vertical="center"/>
    </xf>
    <xf numFmtId="0" fontId="7" fillId="0" borderId="1" xfId="0" applyFont="1" applyBorder="1" applyAlignment="1">
      <alignment vertical="top"/>
    </xf>
    <xf numFmtId="0" fontId="7" fillId="0" borderId="1" xfId="0" applyFont="1" applyBorder="1"/>
    <xf numFmtId="0" fontId="18" fillId="2" borderId="1" xfId="0" applyFont="1" applyFill="1" applyBorder="1" applyAlignment="1">
      <alignment horizontal="center" vertical="top"/>
    </xf>
    <xf numFmtId="0" fontId="18" fillId="2" borderId="1" xfId="0" applyFont="1" applyFill="1" applyBorder="1" applyAlignment="1">
      <alignment horizontal="center"/>
    </xf>
    <xf numFmtId="0" fontId="16" fillId="4" borderId="1" xfId="0" applyFont="1" applyFill="1" applyBorder="1" applyAlignment="1">
      <alignment horizontal="center" vertical="center"/>
    </xf>
    <xf numFmtId="0" fontId="0" fillId="4" borderId="1" xfId="0" applyFill="1" applyBorder="1" applyAlignment="1">
      <alignment horizontal="center" vertical="center"/>
    </xf>
    <xf numFmtId="0" fontId="17" fillId="4" borderId="1" xfId="0" applyFont="1" applyFill="1" applyBorder="1" applyAlignment="1">
      <alignment horizontal="center" vertical="center"/>
    </xf>
    <xf numFmtId="0" fontId="11" fillId="3" borderId="0" xfId="4" applyFont="1" applyFill="1" applyAlignment="1">
      <alignment vertical="center"/>
    </xf>
    <xf numFmtId="0" fontId="11" fillId="4" borderId="0" xfId="4" applyFont="1" applyFill="1" applyAlignment="1">
      <alignment vertical="center"/>
    </xf>
    <xf numFmtId="0" fontId="13" fillId="3" borderId="1" xfId="0" applyFont="1" applyFill="1" applyBorder="1" applyAlignment="1">
      <alignment horizontal="center" vertical="center"/>
    </xf>
    <xf numFmtId="0" fontId="17" fillId="8" borderId="1" xfId="6" applyFont="1" applyFill="1" applyBorder="1" applyAlignment="1">
      <alignment vertical="top"/>
    </xf>
    <xf numFmtId="0" fontId="12" fillId="8" borderId="1" xfId="6" applyFill="1" applyBorder="1" applyAlignment="1">
      <alignment vertical="top"/>
    </xf>
    <xf numFmtId="0" fontId="3" fillId="0" borderId="0" xfId="0" applyFont="1" applyAlignment="1">
      <alignment horizontal="center"/>
    </xf>
    <xf numFmtId="0" fontId="11" fillId="3" borderId="0" xfId="4" applyFont="1" applyFill="1" applyAlignment="1">
      <alignment horizontal="center" vertical="center"/>
    </xf>
    <xf numFmtId="0" fontId="21" fillId="0" borderId="1" xfId="0" applyFont="1" applyBorder="1" applyAlignment="1">
      <alignment horizontal="left" vertical="center" wrapText="1"/>
    </xf>
    <xf numFmtId="0" fontId="21" fillId="0" borderId="1" xfId="0" applyFont="1" applyBorder="1" applyAlignment="1">
      <alignment horizontal="center" vertical="center" wrapText="1"/>
    </xf>
    <xf numFmtId="0" fontId="21" fillId="9" borderId="1" xfId="0" applyFont="1" applyFill="1" applyBorder="1" applyAlignment="1">
      <alignment horizontal="center" vertical="center" wrapText="1"/>
    </xf>
    <xf numFmtId="0" fontId="21" fillId="9" borderId="1" xfId="0" applyFont="1" applyFill="1" applyBorder="1" applyAlignment="1">
      <alignment horizontal="left" vertical="center" wrapText="1"/>
    </xf>
    <xf numFmtId="0" fontId="6" fillId="0" borderId="0" xfId="0" applyFont="1"/>
    <xf numFmtId="0" fontId="22" fillId="3" borderId="0" xfId="4" applyFont="1" applyFill="1" applyAlignment="1">
      <alignment vertical="center"/>
    </xf>
    <xf numFmtId="0" fontId="12" fillId="8" borderId="1" xfId="6" applyFill="1" applyBorder="1" applyAlignment="1">
      <alignment horizontal="center" vertical="center" wrapText="1"/>
    </xf>
    <xf numFmtId="0" fontId="12" fillId="8" borderId="1" xfId="6" applyFill="1" applyBorder="1" applyAlignment="1">
      <alignment horizontal="center" vertical="center"/>
    </xf>
    <xf numFmtId="0" fontId="21" fillId="0" borderId="13" xfId="0" applyFont="1" applyBorder="1" applyAlignment="1">
      <alignment horizontal="center" vertical="center" wrapText="1"/>
    </xf>
    <xf numFmtId="0" fontId="21" fillId="0" borderId="12" xfId="0" applyFont="1" applyBorder="1" applyAlignment="1">
      <alignment horizontal="left" vertical="center" wrapText="1"/>
    </xf>
    <xf numFmtId="0" fontId="21" fillId="9" borderId="12" xfId="0" applyFont="1" applyFill="1" applyBorder="1" applyAlignment="1">
      <alignment horizontal="center" vertical="center" wrapText="1"/>
    </xf>
    <xf numFmtId="0" fontId="21" fillId="0" borderId="1" xfId="0" applyFont="1" applyBorder="1" applyAlignment="1">
      <alignment horizontal="left" vertical="center" wrapText="1" indent="3"/>
    </xf>
    <xf numFmtId="0" fontId="21" fillId="0" borderId="13" xfId="0" applyFont="1" applyBorder="1" applyAlignment="1">
      <alignment horizontal="left" vertical="center" wrapText="1" indent="3"/>
    </xf>
    <xf numFmtId="0" fontId="21" fillId="0" borderId="12" xfId="0" applyFont="1" applyBorder="1" applyAlignment="1">
      <alignment horizontal="left" vertical="center" wrapText="1" indent="3"/>
    </xf>
    <xf numFmtId="0" fontId="11" fillId="3" borderId="0" xfId="4" applyFont="1" applyFill="1"/>
    <xf numFmtId="0" fontId="11" fillId="3" borderId="0" xfId="4" applyFont="1" applyFill="1" applyAlignment="1">
      <alignment wrapText="1"/>
    </xf>
    <xf numFmtId="0" fontId="0" fillId="0" borderId="0" xfId="0" applyAlignment="1">
      <alignment horizontal="left"/>
    </xf>
    <xf numFmtId="170" fontId="27" fillId="0" borderId="1" xfId="0" applyNumberFormat="1" applyFont="1" applyBorder="1" applyAlignment="1">
      <alignment horizontal="center" vertical="center" wrapText="1"/>
    </xf>
    <xf numFmtId="0" fontId="0" fillId="3" borderId="0" xfId="0" applyFill="1"/>
    <xf numFmtId="0" fontId="13" fillId="3" borderId="0" xfId="0" applyFont="1" applyFill="1"/>
    <xf numFmtId="0" fontId="0" fillId="3" borderId="0" xfId="0" applyFill="1" applyAlignment="1">
      <alignment wrapText="1"/>
    </xf>
    <xf numFmtId="0" fontId="15" fillId="8"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0" borderId="0" xfId="0" applyFont="1" applyAlignment="1">
      <alignment horizontal="center" vertical="center"/>
    </xf>
    <xf numFmtId="0" fontId="0" fillId="0" borderId="0" xfId="0" applyAlignment="1">
      <alignment horizontal="left" vertical="center" wrapText="1"/>
    </xf>
    <xf numFmtId="0" fontId="0" fillId="0" borderId="0" xfId="3" applyNumberFormat="1" applyFont="1" applyBorder="1" applyAlignment="1">
      <alignment horizontal="center" vertical="center"/>
    </xf>
    <xf numFmtId="0" fontId="12" fillId="0" borderId="0" xfId="6" applyBorder="1" applyAlignment="1">
      <alignment horizontal="center" vertical="center"/>
    </xf>
    <xf numFmtId="1" fontId="16" fillId="4" borderId="1" xfId="2" applyNumberFormat="1" applyFont="1" applyFill="1" applyBorder="1" applyAlignment="1">
      <alignment horizontal="center" vertical="center"/>
    </xf>
    <xf numFmtId="171" fontId="27" fillId="0" borderId="1" xfId="0" applyNumberFormat="1" applyFont="1" applyBorder="1" applyAlignment="1">
      <alignment horizontal="center" vertical="center" wrapText="1"/>
    </xf>
    <xf numFmtId="172" fontId="27" fillId="0" borderId="1" xfId="0" applyNumberFormat="1" applyFont="1" applyBorder="1" applyAlignment="1">
      <alignment horizontal="center" vertical="center" wrapText="1"/>
    </xf>
    <xf numFmtId="0" fontId="0" fillId="0" borderId="0" xfId="0" quotePrefix="1" applyAlignment="1">
      <alignment horizontal="left" vertical="center" wrapText="1" indent="2"/>
    </xf>
    <xf numFmtId="173" fontId="27" fillId="0" borderId="1" xfId="0" applyNumberFormat="1" applyFont="1" applyBorder="1" applyAlignment="1">
      <alignment horizontal="center" vertical="center" wrapText="1"/>
    </xf>
    <xf numFmtId="172" fontId="27" fillId="0" borderId="0" xfId="0" applyNumberFormat="1" applyFont="1" applyAlignment="1">
      <alignment horizontal="center" vertical="center" wrapText="1"/>
    </xf>
    <xf numFmtId="0" fontId="21" fillId="0" borderId="0" xfId="0" applyFont="1" applyAlignment="1">
      <alignment horizontal="center" vertical="center" wrapText="1"/>
    </xf>
    <xf numFmtId="166" fontId="0" fillId="0" borderId="1" xfId="3" applyNumberFormat="1" applyFont="1" applyFill="1" applyBorder="1" applyAlignment="1">
      <alignment horizontal="center" vertical="center"/>
    </xf>
    <xf numFmtId="174" fontId="27" fillId="6" borderId="1" xfId="0" applyNumberFormat="1" applyFont="1" applyFill="1" applyBorder="1" applyAlignment="1">
      <alignment horizontal="center" vertical="center" wrapText="1"/>
    </xf>
    <xf numFmtId="0" fontId="0" fillId="4" borderId="0" xfId="0" applyFill="1" applyAlignment="1">
      <alignment horizontal="center" vertical="center" wrapText="1"/>
    </xf>
    <xf numFmtId="168" fontId="8" fillId="4" borderId="1" xfId="2" applyNumberFormat="1" applyFont="1" applyFill="1" applyBorder="1" applyAlignment="1">
      <alignment horizontal="center" vertical="center"/>
    </xf>
    <xf numFmtId="0" fontId="16" fillId="4" borderId="0" xfId="0" quotePrefix="1" applyFont="1" applyFill="1" applyAlignment="1">
      <alignment horizontal="center" vertical="center"/>
    </xf>
    <xf numFmtId="0" fontId="17" fillId="4" borderId="0" xfId="0" quotePrefix="1" applyFont="1" applyFill="1" applyAlignment="1">
      <alignment horizontal="center" vertical="center" wrapText="1"/>
    </xf>
    <xf numFmtId="0" fontId="17" fillId="4" borderId="0" xfId="0" applyFont="1" applyFill="1" applyAlignment="1">
      <alignment horizontal="center" vertical="center" wrapText="1"/>
    </xf>
    <xf numFmtId="175" fontId="27" fillId="0" borderId="1" xfId="0" applyNumberFormat="1" applyFont="1" applyBorder="1" applyAlignment="1">
      <alignment horizontal="center" vertical="center" wrapText="1"/>
    </xf>
    <xf numFmtId="0" fontId="0" fillId="0" borderId="0" xfId="0" applyAlignment="1">
      <alignment horizontal="left" vertical="center" wrapText="1" indent="2"/>
    </xf>
    <xf numFmtId="0" fontId="12" fillId="4" borderId="0" xfId="6" applyFill="1" applyBorder="1" applyAlignment="1">
      <alignment horizontal="center" vertical="center"/>
    </xf>
    <xf numFmtId="166" fontId="0" fillId="0" borderId="1" xfId="0" applyNumberFormat="1" applyBorder="1" applyAlignment="1">
      <alignment horizontal="center" vertical="center"/>
    </xf>
    <xf numFmtId="170" fontId="15" fillId="0" borderId="1" xfId="0" applyNumberFormat="1" applyFont="1" applyBorder="1" applyAlignment="1">
      <alignment horizontal="center" vertical="center"/>
    </xf>
    <xf numFmtId="1" fontId="8" fillId="0" borderId="1" xfId="2" applyNumberFormat="1" applyFont="1" applyBorder="1" applyAlignment="1">
      <alignment horizontal="center" vertical="center"/>
    </xf>
    <xf numFmtId="1" fontId="21" fillId="0" borderId="1" xfId="0" applyNumberFormat="1" applyFont="1" applyBorder="1" applyAlignment="1">
      <alignment horizontal="center" vertical="center" wrapText="1"/>
    </xf>
    <xf numFmtId="0" fontId="16" fillId="0" borderId="0" xfId="0" applyFont="1" applyAlignment="1">
      <alignment wrapText="1"/>
    </xf>
    <xf numFmtId="167" fontId="0" fillId="0" borderId="0" xfId="2" applyNumberFormat="1" applyFont="1" applyBorder="1" applyAlignment="1">
      <alignment horizontal="center" vertical="center"/>
    </xf>
    <xf numFmtId="0" fontId="16" fillId="0" borderId="0" xfId="0" applyFont="1"/>
    <xf numFmtId="0" fontId="0" fillId="0" borderId="3" xfId="0" applyBorder="1" applyAlignment="1">
      <alignment vertical="center" wrapText="1"/>
    </xf>
    <xf numFmtId="164" fontId="17" fillId="4" borderId="1" xfId="3" applyNumberFormat="1" applyFont="1" applyFill="1" applyBorder="1" applyAlignment="1">
      <alignment horizontal="center" vertical="center"/>
    </xf>
    <xf numFmtId="0" fontId="17" fillId="0" borderId="4" xfId="0" applyFont="1" applyBorder="1" applyAlignment="1">
      <alignment vertical="center" wrapText="1"/>
    </xf>
    <xf numFmtId="0" fontId="29" fillId="0" borderId="1" xfId="0" applyFont="1" applyBorder="1" applyAlignment="1">
      <alignment horizontal="center" vertical="center" readingOrder="1"/>
    </xf>
    <xf numFmtId="0" fontId="29" fillId="0" borderId="0" xfId="0" applyFont="1" applyAlignment="1">
      <alignment horizontal="center" vertical="center" readingOrder="1"/>
    </xf>
    <xf numFmtId="3" fontId="0" fillId="4" borderId="0" xfId="2" applyNumberFormat="1" applyFont="1" applyFill="1" applyBorder="1" applyAlignment="1">
      <alignment horizontal="center" vertical="center"/>
    </xf>
    <xf numFmtId="0" fontId="17" fillId="4" borderId="0" xfId="0" applyFont="1" applyFill="1" applyAlignment="1">
      <alignment horizontal="center" vertical="center"/>
    </xf>
    <xf numFmtId="9" fontId="0" fillId="0" borderId="1" xfId="2" applyNumberFormat="1" applyFont="1" applyBorder="1" applyAlignment="1">
      <alignment horizontal="center" vertical="center"/>
    </xf>
    <xf numFmtId="3" fontId="0" fillId="0" borderId="1" xfId="2" applyNumberFormat="1" applyFont="1" applyFill="1" applyBorder="1" applyAlignment="1">
      <alignment horizontal="center" vertical="center"/>
    </xf>
    <xf numFmtId="0" fontId="0" fillId="0" borderId="0" xfId="0" applyAlignment="1">
      <alignment horizontal="left" wrapText="1"/>
    </xf>
    <xf numFmtId="3" fontId="0" fillId="0" borderId="0" xfId="2" applyNumberFormat="1" applyFont="1" applyFill="1" applyBorder="1" applyAlignment="1">
      <alignment horizontal="center" vertical="center"/>
    </xf>
    <xf numFmtId="0" fontId="16" fillId="0" borderId="0" xfId="6" applyFont="1" applyFill="1" applyBorder="1" applyAlignment="1">
      <alignment horizontal="center" vertical="center"/>
    </xf>
    <xf numFmtId="166" fontId="0" fillId="0" borderId="1" xfId="2" applyNumberFormat="1" applyFont="1" applyFill="1" applyBorder="1" applyAlignment="1">
      <alignment horizontal="center" vertical="center"/>
    </xf>
    <xf numFmtId="169" fontId="27" fillId="0" borderId="1" xfId="0" applyNumberFormat="1" applyFont="1" applyBorder="1" applyAlignment="1">
      <alignment horizontal="center" vertical="center" wrapText="1"/>
    </xf>
    <xf numFmtId="169" fontId="27" fillId="6" borderId="1" xfId="0" applyNumberFormat="1" applyFont="1" applyFill="1" applyBorder="1" applyAlignment="1">
      <alignment horizontal="center" vertical="center" wrapText="1"/>
    </xf>
    <xf numFmtId="176" fontId="27" fillId="0" borderId="1" xfId="0" applyNumberFormat="1" applyFont="1" applyBorder="1" applyAlignment="1">
      <alignment horizontal="center" vertical="center" wrapText="1"/>
    </xf>
    <xf numFmtId="0" fontId="23" fillId="11" borderId="1" xfId="0" applyFont="1" applyFill="1" applyBorder="1" applyAlignment="1">
      <alignment horizontal="center" vertical="center" wrapText="1"/>
    </xf>
    <xf numFmtId="0" fontId="9" fillId="3" borderId="0" xfId="5" applyFont="1" applyFill="1" applyAlignment="1">
      <alignment horizontal="left" vertical="center"/>
    </xf>
    <xf numFmtId="0" fontId="14" fillId="0" borderId="0" xfId="0" applyFont="1" applyAlignment="1">
      <alignment horizontal="left" vertical="top"/>
    </xf>
    <xf numFmtId="0" fontId="6" fillId="0" borderId="0" xfId="0" applyFont="1" applyAlignment="1">
      <alignment horizontal="left" vertical="top"/>
    </xf>
    <xf numFmtId="0" fontId="21" fillId="0" borderId="13" xfId="0" applyFont="1" applyBorder="1" applyAlignment="1">
      <alignment horizontal="left" vertical="center" wrapText="1"/>
    </xf>
    <xf numFmtId="0" fontId="3" fillId="0" borderId="0" xfId="0" applyFont="1" applyAlignment="1">
      <alignment horizontal="left"/>
    </xf>
    <xf numFmtId="1" fontId="17" fillId="0" borderId="1" xfId="2" applyNumberFormat="1" applyFont="1" applyFill="1" applyBorder="1" applyAlignment="1">
      <alignment horizontal="center" vertical="center"/>
    </xf>
    <xf numFmtId="0" fontId="16" fillId="0" borderId="0" xfId="0" applyFont="1" applyAlignment="1">
      <alignment vertical="top"/>
    </xf>
    <xf numFmtId="165" fontId="17" fillId="0" borderId="1" xfId="2" applyNumberFormat="1" applyFont="1" applyFill="1" applyBorder="1" applyAlignment="1">
      <alignment horizontal="center" vertical="center"/>
    </xf>
    <xf numFmtId="0" fontId="17" fillId="0" borderId="1" xfId="0" applyFont="1" applyBorder="1" applyAlignment="1">
      <alignment horizontal="center" vertical="center" wrapText="1"/>
    </xf>
    <xf numFmtId="14" fontId="1" fillId="0" borderId="0" xfId="0" applyNumberFormat="1" applyFont="1" applyAlignment="1">
      <alignment horizontal="right" vertical="top"/>
    </xf>
    <xf numFmtId="0" fontId="1" fillId="0" borderId="0" xfId="0" quotePrefix="1" applyFont="1" applyAlignment="1">
      <alignment vertical="top"/>
    </xf>
    <xf numFmtId="0" fontId="21" fillId="4" borderId="1" xfId="0" applyFont="1" applyFill="1" applyBorder="1" applyAlignment="1">
      <alignment horizontal="center" vertical="center" wrapText="1"/>
    </xf>
    <xf numFmtId="1" fontId="6" fillId="0" borderId="0" xfId="0" applyNumberFormat="1" applyFont="1" applyAlignment="1">
      <alignment horizontal="center"/>
    </xf>
    <xf numFmtId="172" fontId="23" fillId="11" borderId="1" xfId="2" applyNumberFormat="1" applyFont="1" applyFill="1" applyBorder="1" applyAlignment="1">
      <alignment horizontal="center" vertical="center" wrapText="1"/>
    </xf>
    <xf numFmtId="0" fontId="23" fillId="11" borderId="1" xfId="0" applyFont="1" applyFill="1" applyBorder="1" applyAlignment="1">
      <alignment horizontal="right" vertical="center" wrapText="1"/>
    </xf>
    <xf numFmtId="1" fontId="0" fillId="0" borderId="1" xfId="0" applyNumberFormat="1" applyBorder="1" applyAlignment="1">
      <alignment horizontal="center" vertical="center"/>
    </xf>
    <xf numFmtId="0" fontId="1" fillId="0" borderId="0" xfId="0" applyFont="1"/>
    <xf numFmtId="0" fontId="1" fillId="0" borderId="0" xfId="0" applyFont="1" applyAlignment="1">
      <alignment horizontal="center"/>
    </xf>
    <xf numFmtId="0" fontId="1" fillId="0" borderId="0" xfId="0" applyFont="1" applyAlignment="1">
      <alignment horizontal="left"/>
    </xf>
    <xf numFmtId="0" fontId="1" fillId="0" borderId="1" xfId="0" applyFont="1" applyBorder="1"/>
    <xf numFmtId="0" fontId="1" fillId="0" borderId="13" xfId="0" applyFont="1" applyBorder="1"/>
    <xf numFmtId="0" fontId="1" fillId="0" borderId="12" xfId="0" applyFont="1" applyBorder="1"/>
    <xf numFmtId="1" fontId="1" fillId="0" borderId="0" xfId="0" applyNumberFormat="1" applyFont="1" applyAlignment="1">
      <alignment horizontal="center"/>
    </xf>
    <xf numFmtId="0" fontId="1" fillId="2" borderId="1" xfId="0" applyFont="1" applyFill="1" applyBorder="1" applyAlignment="1">
      <alignment horizontal="center"/>
    </xf>
    <xf numFmtId="0" fontId="1" fillId="2" borderId="1" xfId="0" applyFont="1" applyFill="1" applyBorder="1" applyAlignment="1">
      <alignment horizontal="center" vertical="top"/>
    </xf>
    <xf numFmtId="44" fontId="0" fillId="0" borderId="0" xfId="2" applyFont="1"/>
    <xf numFmtId="0" fontId="25" fillId="8" borderId="1" xfId="0" applyFont="1" applyFill="1" applyBorder="1" applyAlignment="1">
      <alignment horizontal="left" vertical="center" wrapText="1"/>
    </xf>
    <xf numFmtId="0" fontId="24" fillId="3" borderId="10" xfId="0" applyFont="1" applyFill="1" applyBorder="1" applyAlignment="1">
      <alignment horizontal="center"/>
    </xf>
    <xf numFmtId="0" fontId="15" fillId="5" borderId="1" xfId="0" applyFont="1" applyFill="1" applyBorder="1" applyAlignment="1">
      <alignment horizontal="center" vertical="center"/>
    </xf>
    <xf numFmtId="0" fontId="0" fillId="0" borderId="1" xfId="0" applyBorder="1" applyAlignment="1">
      <alignment horizontal="left" vertical="center" wrapText="1"/>
    </xf>
    <xf numFmtId="0" fontId="12" fillId="0" borderId="0" xfId="6" applyAlignment="1">
      <alignment horizontal="left" vertical="top"/>
    </xf>
    <xf numFmtId="0" fontId="15" fillId="8" borderId="1" xfId="0" applyFont="1" applyFill="1" applyBorder="1" applyAlignment="1">
      <alignment horizontal="center" vertical="center" wrapText="1"/>
    </xf>
    <xf numFmtId="0" fontId="0" fillId="0" borderId="1" xfId="0" applyBorder="1" applyAlignment="1">
      <alignment horizontal="center" vertical="center" wrapText="1"/>
    </xf>
    <xf numFmtId="0" fontId="16" fillId="4" borderId="1" xfId="0" quotePrefix="1" applyFont="1" applyFill="1" applyBorder="1" applyAlignment="1">
      <alignment horizontal="center" vertical="center"/>
    </xf>
    <xf numFmtId="0" fontId="16" fillId="4" borderId="1" xfId="0" applyFont="1" applyFill="1" applyBorder="1" applyAlignment="1">
      <alignment horizontal="center" vertical="center"/>
    </xf>
    <xf numFmtId="0" fontId="17" fillId="4" borderId="1" xfId="0" quotePrefix="1" applyFont="1" applyFill="1" applyBorder="1" applyAlignment="1">
      <alignment horizontal="center" vertical="center"/>
    </xf>
    <xf numFmtId="0" fontId="17" fillId="4" borderId="1" xfId="0" applyFont="1" applyFill="1" applyBorder="1" applyAlignment="1">
      <alignment horizontal="center" vertical="center"/>
    </xf>
    <xf numFmtId="0" fontId="12" fillId="4" borderId="2" xfId="6" applyFill="1" applyBorder="1" applyAlignment="1">
      <alignment horizontal="center" vertical="center"/>
    </xf>
    <xf numFmtId="0" fontId="12" fillId="4" borderId="4" xfId="6" applyFill="1" applyBorder="1" applyAlignment="1">
      <alignment horizontal="center" vertical="center"/>
    </xf>
    <xf numFmtId="0" fontId="15" fillId="8" borderId="1" xfId="0" applyFont="1" applyFill="1" applyBorder="1" applyAlignment="1">
      <alignment horizontal="center" vertical="center"/>
    </xf>
    <xf numFmtId="0" fontId="17" fillId="0" borderId="1" xfId="0" quotePrefix="1" applyFont="1" applyBorder="1" applyAlignment="1">
      <alignment horizontal="center" vertical="center"/>
    </xf>
    <xf numFmtId="0" fontId="17" fillId="0" borderId="1" xfId="0" applyFont="1" applyBorder="1" applyAlignment="1">
      <alignment horizontal="center" vertical="center"/>
    </xf>
    <xf numFmtId="0" fontId="0" fillId="0" borderId="0" xfId="0" applyAlignment="1">
      <alignment horizontal="center"/>
    </xf>
    <xf numFmtId="0" fontId="26" fillId="8" borderId="1" xfId="0" applyFont="1" applyFill="1" applyBorder="1" applyAlignment="1">
      <alignment horizontal="center" vertical="center"/>
    </xf>
    <xf numFmtId="0" fontId="0" fillId="0" borderId="2" xfId="0" applyBorder="1" applyAlignment="1">
      <alignment horizontal="center" vertical="center" wrapText="1"/>
    </xf>
    <xf numFmtId="0" fontId="28" fillId="10" borderId="1" xfId="0" applyFont="1" applyFill="1" applyBorder="1" applyAlignment="1">
      <alignment horizontal="center" vertical="center" wrapText="1"/>
    </xf>
    <xf numFmtId="0" fontId="12" fillId="0" borderId="0" xfId="6" applyAlignment="1">
      <alignment horizontal="center" vertical="top"/>
    </xf>
    <xf numFmtId="0" fontId="21" fillId="0" borderId="1" xfId="0" applyFont="1" applyBorder="1" applyAlignment="1">
      <alignment horizontal="center" vertical="center" wrapText="1"/>
    </xf>
    <xf numFmtId="0" fontId="15" fillId="8" borderId="2" xfId="0" applyFont="1" applyFill="1" applyBorder="1" applyAlignment="1">
      <alignment horizontal="center" vertical="center"/>
    </xf>
    <xf numFmtId="0" fontId="15" fillId="8" borderId="4" xfId="0" applyFont="1" applyFill="1" applyBorder="1" applyAlignment="1">
      <alignment horizontal="center" vertical="center"/>
    </xf>
    <xf numFmtId="0" fontId="12" fillId="0" borderId="2" xfId="6" applyBorder="1" applyAlignment="1">
      <alignment horizontal="center" vertical="center"/>
    </xf>
    <xf numFmtId="0" fontId="12" fillId="0" borderId="4" xfId="6" applyBorder="1" applyAlignment="1">
      <alignment horizontal="center" vertical="center"/>
    </xf>
    <xf numFmtId="0" fontId="17" fillId="4" borderId="1" xfId="0" applyFont="1" applyFill="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7" fillId="0" borderId="1" xfId="0" applyFont="1" applyBorder="1" applyAlignment="1">
      <alignment horizontal="left" vertical="center" wrapText="1"/>
    </xf>
    <xf numFmtId="0" fontId="0" fillId="0" borderId="2" xfId="0" quotePrefix="1" applyBorder="1" applyAlignment="1">
      <alignment horizontal="left" vertical="center" wrapText="1"/>
    </xf>
    <xf numFmtId="0" fontId="12" fillId="0" borderId="1" xfId="6" applyFill="1" applyBorder="1" applyAlignment="1">
      <alignment horizontal="center" vertical="center"/>
    </xf>
    <xf numFmtId="0" fontId="0" fillId="0" borderId="1" xfId="0" quotePrefix="1" applyBorder="1" applyAlignment="1">
      <alignment horizontal="left" vertical="center" wrapText="1"/>
    </xf>
    <xf numFmtId="0" fontId="0" fillId="0" borderId="3" xfId="0" quotePrefix="1" applyBorder="1" applyAlignment="1">
      <alignment horizontal="left" vertical="center" wrapText="1"/>
    </xf>
    <xf numFmtId="0" fontId="0" fillId="0" borderId="4" xfId="0" quotePrefix="1" applyBorder="1" applyAlignment="1">
      <alignment horizontal="left" vertical="center" wrapText="1"/>
    </xf>
    <xf numFmtId="0" fontId="12" fillId="0" borderId="2" xfId="6" applyFill="1" applyBorder="1" applyAlignment="1">
      <alignment horizontal="center" vertical="center"/>
    </xf>
    <xf numFmtId="0" fontId="12" fillId="0" borderId="4" xfId="6" applyFill="1" applyBorder="1" applyAlignment="1">
      <alignment horizontal="center" vertical="center"/>
    </xf>
    <xf numFmtId="0" fontId="0" fillId="0" borderId="2" xfId="0" quotePrefix="1" applyBorder="1" applyAlignment="1">
      <alignment horizontal="left" vertical="center" wrapText="1" indent="2"/>
    </xf>
    <xf numFmtId="0" fontId="0" fillId="0" borderId="3" xfId="0" applyBorder="1" applyAlignment="1">
      <alignment horizontal="left" vertical="center" wrapText="1" indent="2"/>
    </xf>
    <xf numFmtId="0" fontId="0" fillId="0" borderId="4" xfId="0" applyBorder="1" applyAlignment="1">
      <alignment horizontal="left" vertical="center" wrapText="1" indent="2"/>
    </xf>
    <xf numFmtId="0" fontId="0" fillId="0" borderId="3" xfId="0" quotePrefix="1" applyBorder="1" applyAlignment="1">
      <alignment horizontal="left" vertical="center" wrapText="1" indent="2"/>
    </xf>
    <xf numFmtId="0" fontId="0" fillId="0" borderId="4" xfId="0" quotePrefix="1" applyBorder="1" applyAlignment="1">
      <alignment horizontal="left" vertical="center" wrapText="1" indent="2"/>
    </xf>
    <xf numFmtId="0" fontId="12" fillId="0" borderId="2" xfId="6" applyBorder="1" applyAlignment="1">
      <alignment horizontal="center"/>
    </xf>
    <xf numFmtId="0" fontId="12" fillId="0" borderId="4" xfId="6" applyBorder="1" applyAlignment="1">
      <alignment horizontal="center"/>
    </xf>
    <xf numFmtId="0" fontId="0" fillId="4" borderId="1" xfId="0" applyFill="1" applyBorder="1" applyAlignment="1">
      <alignment horizontal="center"/>
    </xf>
    <xf numFmtId="0" fontId="16" fillId="4" borderId="2" xfId="6" applyFont="1" applyFill="1" applyBorder="1" applyAlignment="1">
      <alignment horizontal="center" vertical="center"/>
    </xf>
    <xf numFmtId="0" fontId="16" fillId="4" borderId="4" xfId="6" applyFont="1" applyFill="1" applyBorder="1" applyAlignment="1">
      <alignment horizontal="center" vertical="center"/>
    </xf>
    <xf numFmtId="0" fontId="0" fillId="0" borderId="2" xfId="0" quotePrefix="1" applyBorder="1" applyAlignment="1">
      <alignment horizontal="center" vertical="center" wrapText="1"/>
    </xf>
    <xf numFmtId="0" fontId="0" fillId="0" borderId="4" xfId="0" applyBorder="1" applyAlignment="1">
      <alignment horizontal="center" vertical="center" wrapText="1"/>
    </xf>
    <xf numFmtId="0" fontId="26" fillId="8" borderId="2" xfId="0" applyFont="1" applyFill="1" applyBorder="1" applyAlignment="1">
      <alignment horizontal="center" vertical="center"/>
    </xf>
    <xf numFmtId="0" fontId="26" fillId="8" borderId="3" xfId="0" applyFont="1" applyFill="1" applyBorder="1" applyAlignment="1">
      <alignment horizontal="center" vertical="center"/>
    </xf>
    <xf numFmtId="0" fontId="28" fillId="7" borderId="1" xfId="7" applyFont="1" applyFill="1" applyBorder="1" applyAlignment="1">
      <alignment horizontal="center" vertical="center" wrapText="1"/>
    </xf>
    <xf numFmtId="0" fontId="28" fillId="2" borderId="1" xfId="7" applyFont="1" applyFill="1" applyBorder="1" applyAlignment="1">
      <alignment horizontal="center" vertical="center" wrapText="1"/>
    </xf>
    <xf numFmtId="0" fontId="21" fillId="0" borderId="2"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3" xfId="0" applyFont="1" applyBorder="1" applyAlignment="1">
      <alignment horizontal="center" vertical="center" wrapText="1"/>
    </xf>
    <xf numFmtId="0" fontId="21" fillId="6" borderId="2"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15" fillId="0" borderId="1" xfId="0" applyFont="1" applyBorder="1" applyAlignment="1">
      <alignment horizontal="left" vertical="center" wrapText="1"/>
    </xf>
    <xf numFmtId="0" fontId="17" fillId="4" borderId="1" xfId="0" quotePrefix="1"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4" borderId="5" xfId="0" quotePrefix="1" applyFont="1" applyFill="1" applyBorder="1" applyAlignment="1">
      <alignment horizontal="center" vertical="center" wrapText="1"/>
    </xf>
    <xf numFmtId="0" fontId="17" fillId="4" borderId="6" xfId="0" quotePrefix="1" applyFont="1" applyFill="1" applyBorder="1" applyAlignment="1">
      <alignment horizontal="center" vertical="center" wrapText="1"/>
    </xf>
    <xf numFmtId="0" fontId="17" fillId="4" borderId="7" xfId="0" quotePrefix="1" applyFont="1" applyFill="1" applyBorder="1" applyAlignment="1">
      <alignment horizontal="center" vertical="center" wrapText="1"/>
    </xf>
    <xf numFmtId="0" fontId="17" fillId="4" borderId="8" xfId="0" quotePrefix="1" applyFont="1" applyFill="1" applyBorder="1" applyAlignment="1">
      <alignment horizontal="center" vertical="center" wrapText="1"/>
    </xf>
    <xf numFmtId="0" fontId="17" fillId="4" borderId="9" xfId="0" quotePrefix="1" applyFont="1" applyFill="1" applyBorder="1" applyAlignment="1">
      <alignment horizontal="center" vertical="center" wrapText="1"/>
    </xf>
    <xf numFmtId="0" fontId="17" fillId="4" borderId="11" xfId="0" quotePrefix="1" applyFont="1" applyFill="1" applyBorder="1" applyAlignment="1">
      <alignment horizontal="center" vertical="center" wrapText="1"/>
    </xf>
    <xf numFmtId="0" fontId="0" fillId="4" borderId="1" xfId="0" applyFill="1" applyBorder="1" applyAlignment="1">
      <alignment horizontal="left" vertical="center" wrapText="1"/>
    </xf>
    <xf numFmtId="0" fontId="0" fillId="0" borderId="1" xfId="0" quotePrefix="1" applyBorder="1" applyAlignment="1">
      <alignment horizontal="left" vertical="center" wrapText="1" indent="2"/>
    </xf>
    <xf numFmtId="0" fontId="0" fillId="0" borderId="1" xfId="0" applyBorder="1" applyAlignment="1">
      <alignment horizontal="left" vertical="center" wrapText="1" indent="2"/>
    </xf>
    <xf numFmtId="0" fontId="0" fillId="0" borderId="3" xfId="0" applyBorder="1" applyAlignment="1">
      <alignment horizontal="center" vertical="center" wrapText="1"/>
    </xf>
    <xf numFmtId="0" fontId="12" fillId="4" borderId="2" xfId="6" applyFill="1" applyBorder="1" applyAlignment="1">
      <alignment horizontal="center" vertical="center" wrapText="1"/>
    </xf>
    <xf numFmtId="0" fontId="12" fillId="4" borderId="4" xfId="6" applyFill="1" applyBorder="1" applyAlignment="1">
      <alignment horizontal="center" vertical="center" wrapText="1"/>
    </xf>
    <xf numFmtId="0" fontId="19" fillId="4" borderId="1" xfId="0" applyFont="1" applyFill="1" applyBorder="1" applyAlignment="1">
      <alignment horizontal="left" vertical="center" wrapText="1"/>
    </xf>
    <xf numFmtId="0" fontId="16" fillId="4" borderId="1" xfId="0" applyFont="1" applyFill="1" applyBorder="1" applyAlignment="1">
      <alignment horizontal="left"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wrapText="1"/>
    </xf>
    <xf numFmtId="0" fontId="0" fillId="0" borderId="3" xfId="0" applyBorder="1" applyAlignment="1">
      <alignment horizontal="center"/>
    </xf>
    <xf numFmtId="0" fontId="0" fillId="0" borderId="4" xfId="0" applyBorder="1" applyAlignment="1">
      <alignment horizontal="center"/>
    </xf>
    <xf numFmtId="0" fontId="0" fillId="0" borderId="2" xfId="0" quotePrefix="1" applyBorder="1" applyAlignment="1">
      <alignment horizontal="left" vertical="center" wrapText="1" indent="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12" fillId="0" borderId="1" xfId="6" applyBorder="1" applyAlignment="1">
      <alignment horizontal="center" vertical="center"/>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4" borderId="2"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 xfId="0" applyFill="1" applyBorder="1" applyAlignment="1">
      <alignment horizontal="center"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7" fillId="0" borderId="2" xfId="6" applyFont="1" applyBorder="1" applyAlignment="1">
      <alignment horizontal="center" vertical="center"/>
    </xf>
    <xf numFmtId="0" fontId="17" fillId="0" borderId="4" xfId="6" applyFont="1" applyBorder="1" applyAlignment="1">
      <alignment horizontal="center" vertical="center"/>
    </xf>
    <xf numFmtId="0" fontId="0" fillId="4" borderId="1" xfId="0" applyFill="1" applyBorder="1" applyAlignment="1">
      <alignment horizontal="center" wrapText="1"/>
    </xf>
    <xf numFmtId="9" fontId="16" fillId="4" borderId="1" xfId="3" applyFont="1" applyFill="1" applyBorder="1" applyAlignment="1">
      <alignment horizontal="center" vertical="center"/>
    </xf>
    <xf numFmtId="9" fontId="17" fillId="4" borderId="1" xfId="3" quotePrefix="1" applyFont="1" applyFill="1" applyBorder="1" applyAlignment="1">
      <alignment horizontal="center" vertical="center" wrapText="1"/>
    </xf>
    <xf numFmtId="9" fontId="17" fillId="4" borderId="1" xfId="3" applyFont="1" applyFill="1" applyBorder="1" applyAlignment="1">
      <alignment horizontal="center" vertical="center" wrapText="1"/>
    </xf>
    <xf numFmtId="0" fontId="16" fillId="0" borderId="0" xfId="0" applyFont="1" applyAlignment="1">
      <alignment horizontal="center" wrapText="1"/>
    </xf>
    <xf numFmtId="0" fontId="0" fillId="0" borderId="2" xfId="0" quotePrefix="1" applyBorder="1" applyAlignment="1">
      <alignment horizontal="left" wrapText="1"/>
    </xf>
    <xf numFmtId="0" fontId="0" fillId="0" borderId="3" xfId="0" applyBorder="1" applyAlignment="1">
      <alignment horizontal="left"/>
    </xf>
    <xf numFmtId="0" fontId="0" fillId="0" borderId="4" xfId="0" applyBorder="1" applyAlignment="1">
      <alignment horizontal="left"/>
    </xf>
    <xf numFmtId="0" fontId="0" fillId="4" borderId="2" xfId="0" applyFill="1" applyBorder="1" applyAlignment="1">
      <alignment horizontal="left" vertical="center" wrapText="1"/>
    </xf>
    <xf numFmtId="0" fontId="0" fillId="4" borderId="3" xfId="0" applyFill="1" applyBorder="1" applyAlignment="1">
      <alignment horizontal="left" vertical="center" wrapText="1"/>
    </xf>
    <xf numFmtId="0" fontId="0" fillId="4" borderId="4" xfId="0" applyFill="1" applyBorder="1" applyAlignment="1">
      <alignment horizontal="left" vertical="center" wrapText="1"/>
    </xf>
    <xf numFmtId="0" fontId="12" fillId="4" borderId="1" xfId="6" quotePrefix="1" applyFill="1" applyBorder="1" applyAlignment="1">
      <alignment horizontal="center" vertical="center" wrapText="1"/>
    </xf>
    <xf numFmtId="0" fontId="12" fillId="4" borderId="1" xfId="6" applyFill="1" applyBorder="1" applyAlignment="1">
      <alignment horizontal="center" vertical="center" wrapText="1"/>
    </xf>
    <xf numFmtId="0" fontId="12" fillId="4" borderId="1" xfId="6" applyFill="1" applyBorder="1" applyAlignment="1">
      <alignment horizontal="center" vertical="center"/>
    </xf>
    <xf numFmtId="0" fontId="17" fillId="4" borderId="2" xfId="0" quotePrefix="1" applyFont="1" applyFill="1" applyBorder="1" applyAlignment="1">
      <alignment horizontal="center" vertical="center"/>
    </xf>
    <xf numFmtId="0" fontId="17" fillId="4" borderId="4" xfId="0" quotePrefix="1" applyFont="1" applyFill="1" applyBorder="1" applyAlignment="1">
      <alignment horizontal="center" vertical="center"/>
    </xf>
    <xf numFmtId="0" fontId="17" fillId="4" borderId="5" xfId="6" applyFont="1" applyFill="1" applyBorder="1" applyAlignment="1">
      <alignment horizontal="center" vertical="center" wrapText="1"/>
    </xf>
    <xf numFmtId="0" fontId="17" fillId="4" borderId="6" xfId="6" applyFont="1" applyFill="1" applyBorder="1" applyAlignment="1">
      <alignment horizontal="center" vertical="center" wrapText="1"/>
    </xf>
    <xf numFmtId="0" fontId="17" fillId="4" borderId="7" xfId="6" applyFont="1" applyFill="1" applyBorder="1" applyAlignment="1">
      <alignment horizontal="center" vertical="center" wrapText="1"/>
    </xf>
    <xf numFmtId="0" fontId="17" fillId="4" borderId="8" xfId="6" applyFont="1" applyFill="1" applyBorder="1" applyAlignment="1">
      <alignment horizontal="center" vertical="center" wrapText="1"/>
    </xf>
    <xf numFmtId="0" fontId="17" fillId="4" borderId="9" xfId="6" applyFont="1" applyFill="1" applyBorder="1" applyAlignment="1">
      <alignment horizontal="center" vertical="center" wrapText="1"/>
    </xf>
    <xf numFmtId="0" fontId="17" fillId="4" borderId="11" xfId="6" applyFont="1" applyFill="1" applyBorder="1" applyAlignment="1">
      <alignment horizontal="center" vertical="center"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17" fillId="0" borderId="2" xfId="6" applyFont="1" applyFill="1" applyBorder="1" applyAlignment="1">
      <alignment horizontal="center" vertical="center"/>
    </xf>
    <xf numFmtId="0" fontId="17" fillId="0" borderId="4" xfId="6" applyFont="1" applyFill="1" applyBorder="1" applyAlignment="1">
      <alignment horizontal="center" vertical="center"/>
    </xf>
    <xf numFmtId="0" fontId="17" fillId="4" borderId="2" xfId="6" applyFont="1" applyFill="1" applyBorder="1" applyAlignment="1">
      <alignment horizontal="center" vertical="center" wrapText="1"/>
    </xf>
    <xf numFmtId="0" fontId="17" fillId="4" borderId="4" xfId="6" applyFont="1" applyFill="1" applyBorder="1" applyAlignment="1">
      <alignment horizontal="center" vertical="center" wrapText="1"/>
    </xf>
    <xf numFmtId="0" fontId="20" fillId="0" borderId="1" xfId="0" applyFont="1" applyBorder="1" applyAlignment="1">
      <alignment horizontal="left" vertical="center" wrapText="1"/>
    </xf>
    <xf numFmtId="0" fontId="12" fillId="4" borderId="5" xfId="6" applyFill="1" applyBorder="1" applyAlignment="1">
      <alignment horizontal="center" vertical="center" wrapText="1"/>
    </xf>
    <xf numFmtId="0" fontId="12" fillId="4" borderId="6" xfId="6" applyFill="1" applyBorder="1" applyAlignment="1">
      <alignment horizontal="center" vertical="center" wrapText="1"/>
    </xf>
    <xf numFmtId="0" fontId="12" fillId="4" borderId="9" xfId="6" applyFill="1" applyBorder="1" applyAlignment="1">
      <alignment horizontal="center" vertical="center" wrapText="1"/>
    </xf>
    <xf numFmtId="0" fontId="12" fillId="4" borderId="11" xfId="6" applyFill="1" applyBorder="1" applyAlignment="1">
      <alignment horizontal="center" vertical="center" wrapText="1"/>
    </xf>
    <xf numFmtId="0" fontId="17" fillId="0" borderId="2" xfId="0" quotePrefix="1" applyFont="1" applyBorder="1" applyAlignment="1">
      <alignment horizontal="center" vertical="center" wrapText="1"/>
    </xf>
    <xf numFmtId="0" fontId="17" fillId="0" borderId="4" xfId="0" quotePrefix="1" applyFont="1" applyBorder="1" applyAlignment="1">
      <alignment horizontal="center" vertical="center" wrapText="1"/>
    </xf>
    <xf numFmtId="0" fontId="16" fillId="4" borderId="2" xfId="0" quotePrefix="1" applyFont="1" applyFill="1" applyBorder="1" applyAlignment="1">
      <alignment horizontal="center" vertical="center"/>
    </xf>
    <xf numFmtId="0" fontId="16" fillId="4" borderId="4" xfId="0" quotePrefix="1" applyFont="1" applyFill="1" applyBorder="1" applyAlignment="1">
      <alignment horizontal="center" vertical="center"/>
    </xf>
    <xf numFmtId="0" fontId="0" fillId="0" borderId="1" xfId="0" applyBorder="1" applyAlignment="1">
      <alignment horizontal="center" vertical="center"/>
    </xf>
    <xf numFmtId="0" fontId="1" fillId="0" borderId="1" xfId="7" applyFont="1" applyBorder="1" applyAlignment="1">
      <alignment horizontal="center" vertical="center" wrapText="1"/>
    </xf>
    <xf numFmtId="0" fontId="0" fillId="0" borderId="1" xfId="0" applyBorder="1" applyAlignment="1">
      <alignment horizontal="left" wrapText="1"/>
    </xf>
    <xf numFmtId="0" fontId="12" fillId="0" borderId="2" xfId="6" applyBorder="1" applyAlignment="1">
      <alignment horizontal="center" vertical="center" wrapText="1"/>
    </xf>
    <xf numFmtId="0" fontId="12" fillId="0" borderId="4" xfId="6"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xf>
    <xf numFmtId="0" fontId="17" fillId="0" borderId="1" xfId="0" quotePrefix="1" applyFont="1" applyBorder="1" applyAlignment="1">
      <alignment horizontal="left" vertical="center" wrapText="1"/>
    </xf>
    <xf numFmtId="0" fontId="17" fillId="0" borderId="2" xfId="6" quotePrefix="1" applyFont="1" applyFill="1" applyBorder="1" applyAlignment="1">
      <alignment horizontal="left" vertical="center" wrapText="1"/>
    </xf>
    <xf numFmtId="0" fontId="17" fillId="0" borderId="4" xfId="6" applyFont="1" applyFill="1" applyBorder="1" applyAlignment="1">
      <alignment horizontal="left" vertical="center"/>
    </xf>
    <xf numFmtId="0" fontId="0" fillId="0" borderId="3" xfId="0" applyBorder="1" applyAlignment="1">
      <alignment horizontal="center" wrapText="1"/>
    </xf>
    <xf numFmtId="0" fontId="0" fillId="0" borderId="4" xfId="0" applyBorder="1" applyAlignment="1">
      <alignment horizontal="center" wrapText="1"/>
    </xf>
    <xf numFmtId="0" fontId="0" fillId="0" borderId="3" xfId="0" applyBorder="1" applyAlignment="1">
      <alignment horizontal="center" vertical="center"/>
    </xf>
    <xf numFmtId="0" fontId="0" fillId="0" borderId="2" xfId="0" applyBorder="1" applyAlignment="1">
      <alignment horizontal="left" vertical="center" wrapText="1" indent="2"/>
    </xf>
    <xf numFmtId="0" fontId="0" fillId="0" borderId="1" xfId="0" applyBorder="1" applyAlignment="1">
      <alignment horizontal="left" vertical="center"/>
    </xf>
  </cellXfs>
  <cellStyles count="8">
    <cellStyle name="Lien hypertexte" xfId="6" builtinId="8"/>
    <cellStyle name="Monétaire" xfId="2" builtinId="4"/>
    <cellStyle name="Normal" xfId="0" builtinId="0"/>
    <cellStyle name="Normal 2" xfId="1" xr:uid="{D3D2210F-9B93-2B4F-86BA-4EE1BA89C8D9}"/>
    <cellStyle name="Normal 2 4" xfId="4" xr:uid="{23320DCF-8BE7-4964-9245-E7C688DDE8A0}"/>
    <cellStyle name="Normal 2 5" xfId="5" xr:uid="{AEB155E1-0C5E-467C-BA45-1A18F64BA37B}"/>
    <cellStyle name="Normal 3" xfId="7" xr:uid="{F0F92CFE-CFDC-46B3-9A79-73E79FF9E485}"/>
    <cellStyle name="Pourcentage" xfId="3" builtinId="5"/>
  </cellStyles>
  <dxfs count="0"/>
  <tableStyles count="0" defaultTableStyle="TableStyleMedium2" defaultPivotStyle="PivotStyleLight16"/>
  <colors>
    <mruColors>
      <color rgb="FF53A2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76200</xdr:rowOff>
    </xdr:from>
    <xdr:to>
      <xdr:col>3</xdr:col>
      <xdr:colOff>314324</xdr:colOff>
      <xdr:row>3</xdr:row>
      <xdr:rowOff>373179</xdr:rowOff>
    </xdr:to>
    <xdr:pic>
      <xdr:nvPicPr>
        <xdr:cNvPr id="7" name="Image 6">
          <a:extLst>
            <a:ext uri="{FF2B5EF4-FFF2-40B4-BE49-F238E27FC236}">
              <a16:creationId xmlns:a16="http://schemas.microsoft.com/office/drawing/2014/main" id="{344C8F49-724E-CF18-4EB5-70106913AC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542925"/>
          <a:ext cx="1152524" cy="296979"/>
        </a:xfrm>
        <a:prstGeom prst="rect">
          <a:avLst/>
        </a:prstGeom>
      </xdr:spPr>
    </xdr:pic>
    <xdr:clientData/>
  </xdr:twoCellAnchor>
</xdr:wsDr>
</file>

<file path=xl/theme/theme1.xml><?xml version="1.0" encoding="utf-8"?>
<a:theme xmlns:a="http://schemas.openxmlformats.org/drawingml/2006/main" name="Thème1">
  <a:themeElements>
    <a:clrScheme name="I4CE Nuancier 1">
      <a:dk1>
        <a:srgbClr val="404041"/>
      </a:dk1>
      <a:lt1>
        <a:sysClr val="window" lastClr="FFFFFF"/>
      </a:lt1>
      <a:dk2>
        <a:srgbClr val="4565AF"/>
      </a:dk2>
      <a:lt2>
        <a:srgbClr val="EEECE1"/>
      </a:lt2>
      <a:accent1>
        <a:srgbClr val="289CDB"/>
      </a:accent1>
      <a:accent2>
        <a:srgbClr val="C94450"/>
      </a:accent2>
      <a:accent3>
        <a:srgbClr val="ACC435"/>
      </a:accent3>
      <a:accent4>
        <a:srgbClr val="643A81"/>
      </a:accent4>
      <a:accent5>
        <a:srgbClr val="87C0C2"/>
      </a:accent5>
      <a:accent6>
        <a:srgbClr val="E09C35"/>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Couture">
      <a:fillStyleLst>
        <a:solidFill>
          <a:schemeClr val="phClr"/>
        </a:solidFill>
        <a:solidFill>
          <a:schemeClr val="phClr">
            <a:tint val="65000"/>
          </a:schemeClr>
        </a:solidFill>
        <a:solidFill>
          <a:schemeClr val="phClr">
            <a:shade val="80000"/>
            <a:satMod val="180000"/>
          </a:schemeClr>
        </a:solidFill>
      </a:fillStyleLst>
      <a:lnStyleLst>
        <a:ln w="9525" cap="flat" cmpd="sng" algn="ctr">
          <a:solidFill>
            <a:schemeClr val="phClr"/>
          </a:solidFill>
          <a:prstDash val="solid"/>
        </a:ln>
        <a:ln w="10795" cap="flat" cmpd="sng" algn="ctr">
          <a:solidFill>
            <a:schemeClr val="phClr"/>
          </a:solidFill>
          <a:prstDash val="solid"/>
        </a:ln>
        <a:ln w="17145" cap="flat" cmpd="sng" algn="ctr">
          <a:solidFill>
            <a:schemeClr val="phClr">
              <a:shade val="95000"/>
              <a:alpha val="50000"/>
              <a:satMod val="150000"/>
            </a:schemeClr>
          </a:solidFill>
          <a:prstDash val="solid"/>
        </a:ln>
      </a:lnStyleLst>
      <a:effectStyleLst>
        <a:effectStyle>
          <a:effectLst/>
        </a:effectStyle>
        <a:effectStyle>
          <a:effectLst/>
        </a:effectStyle>
        <a:effectStyle>
          <a:effectLst>
            <a:outerShdw blurRad="44450" dist="13970" dir="5400000" algn="ctr" rotWithShape="0">
              <a:srgbClr val="000000">
                <a:alpha val="45000"/>
              </a:srgbClr>
            </a:outerShdw>
          </a:effectLst>
          <a:scene3d>
            <a:camera prst="orthographicFront">
              <a:rot lat="0" lon="0" rev="0"/>
            </a:camera>
            <a:lightRig rig="twoPt" dir="tl"/>
          </a:scene3d>
          <a:sp3d prstMaterial="flat">
            <a:bevelT w="19050" h="31750" prst="coolSlan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Thème1" id="{AF825EB6-846F-4772-8ACF-CF8B2C4A255D}" vid="{113D58DE-8AFD-4A96-BECE-D6A6E4E590E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ffbatiment.fr/-/media/Project/FFB/FFB/Articles/Nationale-1005/PDF/batiment-en-chiffres-2021.pdf" TargetMode="External"/><Relationship Id="rId13" Type="http://schemas.openxmlformats.org/officeDocument/2006/relationships/hyperlink" Target="http://developpement-durable.bsocom.fr/Statistiques/TableViewer/tableView.aspx?ReportId=14245" TargetMode="External"/><Relationship Id="rId3" Type="http://schemas.openxmlformats.org/officeDocument/2006/relationships/hyperlink" Target="https://www.i4ce.org/wp-core/wp-content/uploads/2021/12/Panorama-des-financements-climat-2020-2.pdf" TargetMode="External"/><Relationship Id="rId7" Type="http://schemas.openxmlformats.org/officeDocument/2006/relationships/hyperlink" Target="https://www.google.com/search?q=62000+entreprises+lablis%C3%A9s+RGE&amp;client=firefox-b-d&amp;sxsrf=ALiCzsarKI5HI9cMOQpk3e_amNbFcK15AQ%3A1655729672338&amp;ei=CG6wYseSFMz5lwSY-KWIDQ&amp;ved=0ahUKEwjHttrXibz4AhXM_IUKHRh8CdEQ4dUDCA0&amp;uact=5&amp;oq=62000+entreprises+lablis%C3%A9s+RGE&amp;gs_lcp=Cgdnd3Mtd2l6EAMyBAgjECc6BwgAEEcQsANKBAhBGABKBAhGGABQ1gJY2gRg1wVoAXABeACAAWiIAWiSAQMwLjGYAQCgAQHIAQjAAQE&amp;sclient=gws-wiz" TargetMode="External"/><Relationship Id="rId12" Type="http://schemas.openxmlformats.org/officeDocument/2006/relationships/hyperlink" Target="https://questions.assemblee-nationale.fr/q13/13-85450QE.htm" TargetMode="External"/><Relationship Id="rId2" Type="http://schemas.openxmlformats.org/officeDocument/2006/relationships/hyperlink" Target="https://www.budget.gouv.fr/documentation/file-download/14308" TargetMode="External"/><Relationship Id="rId1" Type="http://schemas.openxmlformats.org/officeDocument/2006/relationships/hyperlink" Target="https://www.budget.gouv.fr/documentation/file-download/14308" TargetMode="External"/><Relationship Id="rId6" Type="http://schemas.openxmlformats.org/officeDocument/2006/relationships/hyperlink" Target="https://www.nouvelobs.com/rue89/rue89-economie/20100416.RUE6086/combien-coutent-les-campagnes-de-pub-du-gouvernement.html" TargetMode="External"/><Relationship Id="rId11" Type="http://schemas.openxmlformats.org/officeDocument/2006/relationships/hyperlink" Target="https://www.i4ce.org/download/edition-2021-panorama-des-financements-climat/" TargetMode="External"/><Relationship Id="rId5" Type="http://schemas.openxmlformats.org/officeDocument/2006/relationships/hyperlink" Target="https://www.assemblee-nationale.fr/dyn/15/rapports/cion-dvp/l15b3871_rapport-information.pdf" TargetMode="External"/><Relationship Id="rId10" Type="http://schemas.openxmlformats.org/officeDocument/2006/relationships/hyperlink" Target="https://www.union-habitat.org/union-data/les-moyens-financiers" TargetMode="External"/><Relationship Id="rId4" Type="http://schemas.openxmlformats.org/officeDocument/2006/relationships/hyperlink" Target="https://www.union-habitat.org/sites/default/files/articles/pdf/2021-09/ush-chiffrescles_vs_nationale_2021_page_a_page.pdf" TargetMode="External"/><Relationship Id="rId9" Type="http://schemas.openxmlformats.org/officeDocument/2006/relationships/hyperlink" Target="https://www.union-habitat.org/sites/default/files/articles/pdf/2021-09/ush-chiffrescles_vs_nationale_2021_page_a_page.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carbone4.com/files/Annexe_3_Fascicule_resilience.pdf" TargetMode="External"/><Relationship Id="rId13" Type="http://schemas.openxmlformats.org/officeDocument/2006/relationships/hyperlink" Target="https://www.senat.fr/notice-rapport/2018/r18-609-notice.html" TargetMode="External"/><Relationship Id="rId18" Type="http://schemas.openxmlformats.org/officeDocument/2006/relationships/hyperlink" Target="https://www.ecologie.gouv.fr/sites/default/files/20190701_Dossier_de_presse_Assises_Eau.pdf" TargetMode="External"/><Relationship Id="rId3" Type="http://schemas.openxmlformats.org/officeDocument/2006/relationships/hyperlink" Target="https://documents1.worldbank.org/curated/en/962751560793977276/pdf/Strengthening-New-Infrastructure-Assets-A-Cost-Benefit-Analysis.pdf" TargetMode="External"/><Relationship Id="rId21" Type="http://schemas.openxmlformats.org/officeDocument/2006/relationships/hyperlink" Target="https://www.whitehouse.gov/wp-content/uploads/2022/01/BUILDING-A-BETTER-AMERICA_FINAL.pdf" TargetMode="External"/><Relationship Id="rId7" Type="http://schemas.openxmlformats.org/officeDocument/2006/relationships/hyperlink" Target="https://www.carbone4.com/files/Annexe_3_Fascicule_resilience.pdf" TargetMode="External"/><Relationship Id="rId12" Type="http://schemas.openxmlformats.org/officeDocument/2006/relationships/hyperlink" Target="https://fp2e.org/flowpaper/manifeste-FP2E-2022-2027-livret-fiches-31012022/" TargetMode="External"/><Relationship Id="rId17" Type="http://schemas.openxmlformats.org/officeDocument/2006/relationships/hyperlink" Target="https://www.ecologie.gouv.fr/sites/default/files/20190701_Dossier_de_presse_Assises_Eau.pdf" TargetMode="External"/><Relationship Id="rId2" Type="http://schemas.openxmlformats.org/officeDocument/2006/relationships/hyperlink" Target="https://www.rte-france.com/analyses-tendances-et-prospectives/le-schema-decennal-de-developpement-du-reseau" TargetMode="External"/><Relationship Id="rId16" Type="http://schemas.openxmlformats.org/officeDocument/2006/relationships/hyperlink" Target="https://www.ecologie.gouv.fr/sites/default/files/20190701_Dossier_de_presse_Assises_Eau.pdf" TargetMode="External"/><Relationship Id="rId20" Type="http://schemas.openxmlformats.org/officeDocument/2006/relationships/hyperlink" Target="https://www.enedis.fr/garantir-la-qualite-du-reseau-electrique" TargetMode="External"/><Relationship Id="rId1" Type="http://schemas.openxmlformats.org/officeDocument/2006/relationships/hyperlink" Target="https://assets.rte-france.com/prod/public/2020-07/Sch%C3%A9ma%20d%C3%A9cennal%20de%20d%C3%A9veloppement%20de%20r%C3%A9seau%202019%20-%20Synth%C3%A8se.pdf" TargetMode="External"/><Relationship Id="rId6" Type="http://schemas.openxmlformats.org/officeDocument/2006/relationships/hyperlink" Target="https://www.carbone4.com/files/Annexe_3_Fascicule_resilience.pdf" TargetMode="External"/><Relationship Id="rId11" Type="http://schemas.openxmlformats.org/officeDocument/2006/relationships/hyperlink" Target="https://www.services.eaufrance.fr/docs/synthese/rapports/Rapport_Sispea_2019_VF.pdf" TargetMode="External"/><Relationship Id="rId5" Type="http://schemas.openxmlformats.org/officeDocument/2006/relationships/hyperlink" Target="https://www.carbone4.com/files/Annexe_3_Fascicule_resilience.pdf" TargetMode="External"/><Relationship Id="rId15" Type="http://schemas.openxmlformats.org/officeDocument/2006/relationships/hyperlink" Target="https://www.ecologie.gouv.fr/sites/default/files/20190701_Dossier_de_presse_Assises_Eau.pdf" TargetMode="External"/><Relationship Id="rId10" Type="http://schemas.openxmlformats.org/officeDocument/2006/relationships/hyperlink" Target="https://www.ecologie.gouv.fr/sites/default/files/COI_synthese%20rapport%20bilan-perspectives%202022.pdf" TargetMode="External"/><Relationship Id="rId19" Type="http://schemas.openxmlformats.org/officeDocument/2006/relationships/hyperlink" Target="https://www.rte-france.com/l-heritage-de-la-tempete/" TargetMode="External"/><Relationship Id="rId4" Type="http://schemas.openxmlformats.org/officeDocument/2006/relationships/hyperlink" Target="https://civil-protection-humanitarian-aid.ec.europa.eu/what/civil-protection/eu-civil-protection-knowledge-network/list-eu-supported-civil-protection-exercises_en" TargetMode="External"/><Relationship Id="rId9" Type="http://schemas.openxmlformats.org/officeDocument/2006/relationships/hyperlink" Target="https://www.ecologie.gouv.fr/sites/default/files/Thema%20-%20Indisponibilit%C3%A9%20d%E2%80%99une%20infrastructure%20de%20transport.pdf" TargetMode="External"/><Relationship Id="rId14" Type="http://schemas.openxmlformats.org/officeDocument/2006/relationships/hyperlink" Target="https://www.senat.fr/notice-rapport/2018/r18-609-notice.html"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actu-environnement.com/media/pdf/news-27110-relocalisation-lacanau.pdf" TargetMode="External"/><Relationship Id="rId1" Type="http://schemas.openxmlformats.org/officeDocument/2006/relationships/hyperlink" Target="https://www.cerema.fr/fr/actualites/evaluation-prospective-enjeux-affectes-recul-du-trait-cote"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agriculture.gouv.fr/telecharger/129710?token=7db50c31ac3405e2de227215a31fb698d1339c1eb88e331a8d80b1656084e957" TargetMode="External"/><Relationship Id="rId2" Type="http://schemas.openxmlformats.org/officeDocument/2006/relationships/hyperlink" Target="https://www.ecologie.gouv.fr/sites/default/files/2022.03.16_Cloture_Assises_Foret_Bois_en_pdf_accessible-1.pdf" TargetMode="External"/><Relationship Id="rId1" Type="http://schemas.openxmlformats.org/officeDocument/2006/relationships/hyperlink" Target="https://www.ecologie.gouv.fr/sites/default/files/2022.03.16_Cloture_Assises_Foret_Bois_en_pdf_accessible-1.pdf"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agence-cohesion-territoires.gouv.fr/sites/default/files/2022-03/04.03.2022_DP_AvenirMontagne_0.pdf" TargetMode="External"/><Relationship Id="rId7" Type="http://schemas.openxmlformats.org/officeDocument/2006/relationships/hyperlink" Target="https://agence-cohesion-territoires.gouv.fr/sites/default/files/2022-03/04.03.2022_DP_AvenirMontagne_0.pdf" TargetMode="External"/><Relationship Id="rId2" Type="http://schemas.openxmlformats.org/officeDocument/2006/relationships/hyperlink" Target="https://agence-cohesion-territoires.gouv.fr/sites/default/files/2022-03/04.03.2022_DP_AvenirMontagne_0.pdf" TargetMode="External"/><Relationship Id="rId1" Type="http://schemas.openxmlformats.org/officeDocument/2006/relationships/hyperlink" Target="https://agence-cohesion-territoires.gouv.fr/sites/default/files/2022-03/04.03.2022_DP_AvenirMontagne_0.pdf" TargetMode="External"/><Relationship Id="rId6" Type="http://schemas.openxmlformats.org/officeDocument/2006/relationships/hyperlink" Target="https://www.climsnow.com/" TargetMode="External"/><Relationship Id="rId5" Type="http://schemas.openxmlformats.org/officeDocument/2006/relationships/hyperlink" Target="http://www.strmtg.developpement-durable.gouv.fr/IMG/pdf/brochure_investissements_parc__et_trafic_2019-v2.pdf" TargetMode="External"/><Relationship Id="rId4" Type="http://schemas.openxmlformats.org/officeDocument/2006/relationships/hyperlink" Target="http://www.strmtg.developpement-durable.gouv.fr/IMG/pdf/brochure_investissements_parc__et_trafic_2019-v2.pdf"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s://www.ecologie.gouv.fr/adaptation-au-changement-climatique-nouveau-centre-ressources-en-ligne" TargetMode="External"/><Relationship Id="rId1" Type="http://schemas.openxmlformats.org/officeDocument/2006/relationships/hyperlink" Target="https://www.adcf.org/files/THEME-Environnement/FOCUS-PCAET.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agriculture.gouv.fr/telecharger/76633?token=03d8324066304bd02644b6aa1a2437410993cb72aa5f3a9486dd5f843b77622b" TargetMode="External"/><Relationship Id="rId13" Type="http://schemas.openxmlformats.org/officeDocument/2006/relationships/hyperlink" Target="https://www.igf.finances.gouv.fr/files/live/sites/igf/files/contributed/IGF%20internet/2.RapportsPublics/2018/2017-M-082-02.pdf" TargetMode="External"/><Relationship Id="rId18" Type="http://schemas.openxmlformats.org/officeDocument/2006/relationships/vmlDrawing" Target="../drawings/vmlDrawing1.vml"/><Relationship Id="rId3" Type="http://schemas.openxmlformats.org/officeDocument/2006/relationships/hyperlink" Target="https://www.ecologie.gouv.fr/sites/default/files/CEV-Redevances%20Agences%20et%20Biodiversit%C3%A9.pdf" TargetMode="External"/><Relationship Id="rId7" Type="http://schemas.openxmlformats.org/officeDocument/2006/relationships/hyperlink" Target="https://agriculture.gouv.fr/sites/minagri/files/cgaaer_16072_2017_rapport.pdf" TargetMode="External"/><Relationship Id="rId12" Type="http://schemas.openxmlformats.org/officeDocument/2006/relationships/hyperlink" Target="https://www.ecologie.gouv.fr/sites/default/files/20190701_Dossier_de_presse_Assises_Eau.pdf" TargetMode="External"/><Relationship Id="rId17" Type="http://schemas.openxmlformats.org/officeDocument/2006/relationships/hyperlink" Target="https://www.miteco.gob.es/es/agua/temas/planificacion-hidrologica/planificacion-hidrologica/" TargetMode="External"/><Relationship Id="rId2" Type="http://schemas.openxmlformats.org/officeDocument/2006/relationships/hyperlink" Target="https://www.ecologie.gouv.fr/sites/default/files/CEV-Redevances%20Agences%20et%20Biodiversit%C3%A9.pdf" TargetMode="External"/><Relationship Id="rId16" Type="http://schemas.openxmlformats.org/officeDocument/2006/relationships/hyperlink" Target="https://agriculture.gouv.fr/sites/minagri/files/cgaaer_16072_2017_rapport.pdf" TargetMode="External"/><Relationship Id="rId1" Type="http://schemas.openxmlformats.org/officeDocument/2006/relationships/hyperlink" Target="https://www.ecologie.gouv.fr/sites/default/files/CEV-Redevances%20Agences%20et%20Biodiversit%C3%A9.pdf" TargetMode="External"/><Relationship Id="rId6" Type="http://schemas.openxmlformats.org/officeDocument/2006/relationships/hyperlink" Target="https://www.vie-jaunay.com/uploads/PTGE/Feuille%20de%20route%20PTGE%20Vie%20Jaunay%20et%20annexes.pdf%20et%20https:/sf12fbb23ccbb0bcd.jimcontent.com/download/version/1607696572/module/9042204620/name/2020_12_09%20Pr%C3%A9sentation%20CS.pdf" TargetMode="External"/><Relationship Id="rId11" Type="http://schemas.openxmlformats.org/officeDocument/2006/relationships/hyperlink" Target="https://agriculture.gouv.fr/telecharger/129213?token=29afeb5d21bd4b6547e894b6451c144408130e7afab1808d2e6b49ba177d440b" TargetMode="External"/><Relationship Id="rId5" Type="http://schemas.openxmlformats.org/officeDocument/2006/relationships/hyperlink" Target="https://www.ecologie.gouv.fr/sites/default/files/Evaluation%20%C3%A0%20mi-parcours%20du%20PNACC-2.pdf" TargetMode="External"/><Relationship Id="rId15" Type="http://schemas.openxmlformats.org/officeDocument/2006/relationships/hyperlink" Target="https://agriculture.gouv.fr/telecharger/100106?token=46995f074d7b1d79dca310d029d8258d5dcc75ead89bf912f352936e8bcf1d97" TargetMode="External"/><Relationship Id="rId10" Type="http://schemas.openxmlformats.org/officeDocument/2006/relationships/hyperlink" Target="https://agriculture.gouv.fr/telecharger/129213?token=29afeb5d21bd4b6547e894b6451c144408130e7afab1808d2e6b49ba177d440b" TargetMode="External"/><Relationship Id="rId19" Type="http://schemas.openxmlformats.org/officeDocument/2006/relationships/comments" Target="../comments1.xml"/><Relationship Id="rId4" Type="http://schemas.openxmlformats.org/officeDocument/2006/relationships/hyperlink" Target="https://agriculture.gouv.fr/risque-de-secheresse-budget-supplementaire-exceptionnel-accorde-et-nomination-dun-delegue" TargetMode="External"/><Relationship Id="rId9" Type="http://schemas.openxmlformats.org/officeDocument/2006/relationships/hyperlink" Target="https://www.gesteau.fr/actualite/adoption-des-11e-programmes-des-agences-de-leau-2019-2024" TargetMode="External"/><Relationship Id="rId14" Type="http://schemas.openxmlformats.org/officeDocument/2006/relationships/hyperlink" Target="https://www.igf.finances.gouv.fr/files/live/sites/igf/files/contributed/IGF%20internet/2.RapportsPublics/2018/2017-M-082-02.pdf"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santepubliquefrance.fr/content/download/375427/document_file/430127_spf00003205.pdf" TargetMode="External"/><Relationship Id="rId1" Type="http://schemas.openxmlformats.org/officeDocument/2006/relationships/hyperlink" Target="https://www.budget.gouv.fr/documentation/file-download/13510"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budget.gouv.fr/documentation/file-download/14284" TargetMode="External"/><Relationship Id="rId3" Type="http://schemas.openxmlformats.org/officeDocument/2006/relationships/hyperlink" Target="https://www.vie-publique.fr/sites/default/files/rapport/pdf/104000494.pdf" TargetMode="External"/><Relationship Id="rId7" Type="http://schemas.openxmlformats.org/officeDocument/2006/relationships/hyperlink" Target="https://www.vie-publique.fr/rapport/274129-rapport-d-information-sur-la-lutte-contre-les-feux-de-forets" TargetMode="External"/><Relationship Id="rId2" Type="http://schemas.openxmlformats.org/officeDocument/2006/relationships/hyperlink" Target="http://www.senat.fr/rap/l21-163-329-2/l21-163-329-21.pdf" TargetMode="External"/><Relationship Id="rId1" Type="http://schemas.openxmlformats.org/officeDocument/2006/relationships/hyperlink" Target="https://www.budget.gouv.fr/documentation/file-download/14284" TargetMode="External"/><Relationship Id="rId6" Type="http://schemas.openxmlformats.org/officeDocument/2006/relationships/hyperlink" Target="http://www.senat.fr/rap/l21-163-329-2/l21-163-329-21.pdf" TargetMode="External"/><Relationship Id="rId5" Type="http://schemas.openxmlformats.org/officeDocument/2006/relationships/hyperlink" Target="http://www.senat.fr/rap/l20-138-329-2/l20-138-329-20.html" TargetMode="External"/><Relationship Id="rId10" Type="http://schemas.openxmlformats.org/officeDocument/2006/relationships/hyperlink" Target="http://www.senat.fr/rap/l20-138-329-2/l20-138-329-20.html" TargetMode="External"/><Relationship Id="rId4" Type="http://schemas.openxmlformats.org/officeDocument/2006/relationships/hyperlink" Target="http://www.senat.fr/rap/l20-138-329-2/l20-138-329-20.html" TargetMode="External"/><Relationship Id="rId9" Type="http://schemas.openxmlformats.org/officeDocument/2006/relationships/hyperlink" Target="https://www.vie-publique.fr/rapport/274129-rapport-d-information-sur-la-lutte-contre-les-feux-de-forets"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questions.assemblee-nationale.fr/q15/15-41310QE.htm" TargetMode="External"/><Relationship Id="rId13" Type="http://schemas.openxmlformats.org/officeDocument/2006/relationships/printerSettings" Target="../printerSettings/printerSettings2.bin"/><Relationship Id="rId3" Type="http://schemas.openxmlformats.org/officeDocument/2006/relationships/hyperlink" Target="https://www.assemblee-nationale.fr/dyn/15/rapports/cion-dvp/l15b4502-tii_rapport-avis.pdf" TargetMode="External"/><Relationship Id="rId7" Type="http://schemas.openxmlformats.org/officeDocument/2006/relationships/hyperlink" Target="https://cgedd.documentation.developpement-durable.gouv.fr/documents/Affaires-0011548/012877-01_rapport-publie.pdf;jsessionid=6F20D877048C73F9D01E313A5F51C0DB" TargetMode="External"/><Relationship Id="rId12" Type="http://schemas.openxmlformats.org/officeDocument/2006/relationships/hyperlink" Target="https://www.budget.gouv.fr/files/uploads/extract/2022/PLF/BG/PGM/181/FR_2022_PLF_BG_PGM_181_JPE.html" TargetMode="External"/><Relationship Id="rId2" Type="http://schemas.openxmlformats.org/officeDocument/2006/relationships/hyperlink" Target="https://www.ccr.fr/documents/35794/35836/Etude+Climatique+2018+version+complete.pdf/6a7b6120-7050-ff2e-4aa9-89e80c1e30f2?t=1536662736000" TargetMode="External"/><Relationship Id="rId1" Type="http://schemas.openxmlformats.org/officeDocument/2006/relationships/hyperlink" Target="https://www.franceassureurs.fr/wp-content/uploads/VF_France-Assureurs_Impact-du-changement-climatique-2050.pdf" TargetMode="External"/><Relationship Id="rId6" Type="http://schemas.openxmlformats.org/officeDocument/2006/relationships/hyperlink" Target="https://cgedd.documentation.developpement-durable.gouv.fr/documents/Affaires-0011548/012877-01_rapport-publie.pdf;jsessionid=6F20D877048C73F9D01E313A5F51C0DB" TargetMode="External"/><Relationship Id="rId11" Type="http://schemas.openxmlformats.org/officeDocument/2006/relationships/hyperlink" Target="https://www.budget.gouv.fr/files/uploads/extract/2022/PLF/BG/PGM/181/FR_2022_PLF_BG_PGM_181_JPE.html" TargetMode="External"/><Relationship Id="rId5" Type="http://schemas.openxmlformats.org/officeDocument/2006/relationships/hyperlink" Target="https://www.gard.gouv.fr/Actualites/Programme-d-Actions-et-de-Prevention-des-Inondations-signature-du-PAPI-3-Vistre" TargetMode="External"/><Relationship Id="rId10" Type="http://schemas.openxmlformats.org/officeDocument/2006/relationships/hyperlink" Target="https://catastrophes-naturelles.ccr.fr/documents/148935/368920/Bilan+Cat+Nat+1982-2020.pdf/22925938-97e6-4ad4-df6a-f47aed6b3135?t=1623850155584" TargetMode="External"/><Relationship Id="rId4" Type="http://schemas.openxmlformats.org/officeDocument/2006/relationships/hyperlink" Target="https://www.assemblee-nationale.fr/dyn/15/rapports/cion-dvp/l15b4502-tii_rapport-avis.pdf" TargetMode="External"/><Relationship Id="rId9" Type="http://schemas.openxmlformats.org/officeDocument/2006/relationships/hyperlink" Target="https://www.franceassureurs.fr/wp-content/uploads/VF_France-Assureurs_Impact-du-changement-climatique-2050.pdf"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carbone4.com/files/Carbone_4_Le_role_des_infrastructures_dans_la_transition_bas_carbone_et_l_adaptation_au_changement_climatique_de_la_France_rapport_complet_version_compressee.pdf" TargetMode="External"/><Relationship Id="rId3" Type="http://schemas.openxmlformats.org/officeDocument/2006/relationships/hyperlink" Target="http://www.observatoirevillesvertes.fr/wp-content/uploads/2020/08/DP_Palmares-villes-vertes-2020.pdf" TargetMode="External"/><Relationship Id="rId7" Type="http://schemas.openxmlformats.org/officeDocument/2006/relationships/hyperlink" Target="https://www.insee.fr/fr/statistiques/5039883?sommaire=5040030" TargetMode="External"/><Relationship Id="rId12" Type="http://schemas.openxmlformats.org/officeDocument/2006/relationships/printerSettings" Target="../printerSettings/printerSettings3.bin"/><Relationship Id="rId2" Type="http://schemas.openxmlformats.org/officeDocument/2006/relationships/hyperlink" Target="https://www.carbone4.com/files/Carbone_4_Le_role_des_infrastructures_dans_la_transition_bas_carbone_et_l_adaptation_au_changement_climatique_de_la_France_rapport_complet_version_compressee.pdf" TargetMode="External"/><Relationship Id="rId1" Type="http://schemas.openxmlformats.org/officeDocument/2006/relationships/hyperlink" Target="https://www.cerema.fr/fr/actualites/solutions-adaptation-au-changement-climatique-fondees-nature" TargetMode="External"/><Relationship Id="rId6" Type="http://schemas.openxmlformats.org/officeDocument/2006/relationships/hyperlink" Target="http://www.observatoirevillesvertes.fr/wp-content/uploads/2020/08/DP_Palmares-villes-vertes-2020.pdf" TargetMode="External"/><Relationship Id="rId11" Type="http://schemas.openxmlformats.org/officeDocument/2006/relationships/hyperlink" Target="https://www.banquedesterritoires.fr/action-coeur-de-ville-revitalisation-centres-villes" TargetMode="External"/><Relationship Id="rId5" Type="http://schemas.openxmlformats.org/officeDocument/2006/relationships/hyperlink" Target="http://www.observatoirevillesvertes.fr/wp-content/uploads/2020/08/DP_Palmares-villes-vertes-2020.pdf" TargetMode="External"/><Relationship Id="rId10" Type="http://schemas.openxmlformats.org/officeDocument/2006/relationships/hyperlink" Target="https://www.anru.fr/le-nouveau-programme-national-de-renouvellement-urbain-npnru" TargetMode="External"/><Relationship Id="rId4" Type="http://schemas.openxmlformats.org/officeDocument/2006/relationships/hyperlink" Target="http://www.observatoirevillesvertes.fr/wp-content/uploads/2020/08/DP_Palmares-villes-vertes-2020.pdf" TargetMode="External"/><Relationship Id="rId9" Type="http://schemas.openxmlformats.org/officeDocument/2006/relationships/hyperlink" Target="https://www.carbone4.com/files/Carbone_4_Le_role_des_infrastructures_dans_la_transition_bas_carbone_et_l_adaptation_au_changement_climatique_de_la_France_rapport_complet_version_compresse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52120-5688-294B-8574-4F82DA00A079}">
  <sheetPr codeName="Feuil1">
    <tabColor theme="3" tint="-0.499984740745262"/>
  </sheetPr>
  <dimension ref="A1:L40"/>
  <sheetViews>
    <sheetView showGridLines="0" workbookViewId="0">
      <pane ySplit="4" topLeftCell="A5" activePane="bottomLeft" state="frozen"/>
      <selection pane="bottomLeft" activeCell="G9" sqref="G9"/>
    </sheetView>
  </sheetViews>
  <sheetFormatPr defaultColWidth="11.125" defaultRowHeight="15" customHeight="1"/>
  <cols>
    <col min="1" max="2" width="1.625" style="2" customWidth="1"/>
    <col min="3" max="3" width="9.125" style="2" customWidth="1"/>
    <col min="4" max="4" width="22" style="2" customWidth="1"/>
    <col min="5" max="5" width="106.875" style="2" customWidth="1"/>
    <col min="6" max="6" width="22.875" style="50" customWidth="1"/>
    <col min="7" max="7" width="41.625" style="124" customWidth="1"/>
    <col min="8" max="16384" width="11.125" style="2"/>
  </cols>
  <sheetData>
    <row r="1" spans="2:12" ht="11.25" customHeight="1">
      <c r="B1" s="136"/>
      <c r="C1" s="136"/>
      <c r="D1" s="136"/>
      <c r="E1" s="136"/>
      <c r="F1" s="137"/>
      <c r="G1" s="138"/>
      <c r="H1" s="136"/>
      <c r="I1" s="136"/>
      <c r="J1" s="136"/>
      <c r="K1" s="136"/>
      <c r="L1" s="136"/>
    </row>
    <row r="2" spans="2:12" s="46" customFormat="1" ht="25.5" customHeight="1">
      <c r="B2" s="4" t="s">
        <v>0</v>
      </c>
      <c r="C2" s="45"/>
      <c r="D2" s="45"/>
      <c r="E2" s="45"/>
      <c r="F2" s="51"/>
      <c r="G2" s="120"/>
      <c r="H2" s="5"/>
      <c r="I2" s="5"/>
      <c r="J2" s="5"/>
      <c r="K2" s="5"/>
      <c r="L2" s="5"/>
    </row>
    <row r="3" spans="2:12" s="46" customFormat="1" ht="25.5" customHeight="1">
      <c r="B3" s="4"/>
      <c r="C3" s="57" t="s">
        <v>1</v>
      </c>
      <c r="D3" s="45"/>
      <c r="E3" s="45"/>
      <c r="F3" s="51"/>
      <c r="G3" s="120"/>
      <c r="H3" s="5"/>
      <c r="I3" s="5"/>
      <c r="J3" s="5"/>
      <c r="K3" s="5"/>
      <c r="L3" s="5"/>
    </row>
    <row r="4" spans="2:12" ht="39.75" customHeight="1">
      <c r="B4" s="136"/>
      <c r="C4" s="136"/>
      <c r="D4" s="129" t="s">
        <v>2</v>
      </c>
      <c r="E4" s="130" t="s">
        <v>3</v>
      </c>
      <c r="F4" s="137"/>
      <c r="G4" s="121"/>
      <c r="H4" s="136"/>
      <c r="I4" s="136"/>
      <c r="J4" s="136"/>
      <c r="K4" s="136"/>
      <c r="L4" s="136"/>
    </row>
    <row r="5" spans="2:12" ht="15" customHeight="1">
      <c r="B5" s="3"/>
      <c r="C5" s="136"/>
      <c r="D5" s="56"/>
      <c r="E5" s="136"/>
      <c r="F5" s="137"/>
      <c r="G5" s="122"/>
      <c r="H5" s="136"/>
      <c r="I5" s="136"/>
      <c r="J5" s="136"/>
      <c r="K5" s="136"/>
      <c r="L5" s="136"/>
    </row>
    <row r="6" spans="2:12" ht="27.75" customHeight="1">
      <c r="B6" s="136"/>
      <c r="C6" s="136"/>
      <c r="D6" s="147" t="s">
        <v>4</v>
      </c>
      <c r="E6" s="147"/>
      <c r="F6" s="147"/>
      <c r="G6" s="147"/>
      <c r="H6" s="136"/>
      <c r="I6" s="136"/>
      <c r="J6" s="136"/>
      <c r="K6" s="136"/>
      <c r="L6" s="136"/>
    </row>
    <row r="7" spans="2:12" ht="46.5" customHeight="1">
      <c r="B7" s="136"/>
      <c r="C7" s="136"/>
      <c r="D7" s="119" t="s">
        <v>5</v>
      </c>
      <c r="E7" s="119" t="s">
        <v>6</v>
      </c>
      <c r="F7" s="119" t="s">
        <v>7</v>
      </c>
      <c r="G7" s="119" t="s">
        <v>8</v>
      </c>
      <c r="H7" s="136"/>
      <c r="I7" s="136"/>
      <c r="J7" s="136"/>
      <c r="K7" s="136"/>
      <c r="L7" s="136"/>
    </row>
    <row r="8" spans="2:12" ht="19.5" customHeight="1">
      <c r="B8" s="3"/>
      <c r="C8" s="136"/>
      <c r="D8" s="58" t="e" cm="1">
        <f t="array" aca="1" ref="D8" ca="1">HYPERLINK("["&amp;MID(CELL("nomfichier",Navigation!A2),SEARCH("[",CELL("nomfichier",Navigation!A2))+1,SEARCH("]",CELL("nomfichier",Navigation!A2))-SEARCH("[",CELL("nomfichier",Navigation!A2))-1)&amp;"]"&amp;Navigation!A2&amp;"!A1","Allez à")</f>
        <v>#VALUE!</v>
      </c>
      <c r="E8" s="146" t="s">
        <v>9</v>
      </c>
      <c r="F8" s="146"/>
      <c r="G8" s="146"/>
      <c r="H8" s="136"/>
      <c r="I8" s="136"/>
      <c r="J8" s="136"/>
      <c r="K8" s="136"/>
      <c r="L8" s="136"/>
    </row>
    <row r="9" spans="2:12" customFormat="1" ht="36" customHeight="1">
      <c r="D9" s="6"/>
      <c r="E9" s="63" t="s">
        <v>10</v>
      </c>
      <c r="F9" s="99">
        <f>Pilotage!E7</f>
        <v>115.86</v>
      </c>
      <c r="G9" s="52" t="s">
        <v>11</v>
      </c>
    </row>
    <row r="10" spans="2:12" customFormat="1" ht="36" customHeight="1">
      <c r="D10" s="6"/>
      <c r="E10" s="63" t="s">
        <v>12</v>
      </c>
      <c r="F10" s="53">
        <f>Pilotage!E8</f>
        <v>10</v>
      </c>
      <c r="G10" s="52" t="s">
        <v>13</v>
      </c>
    </row>
    <row r="11" spans="2:12" ht="19.5" customHeight="1">
      <c r="B11" s="3"/>
      <c r="C11" s="136"/>
      <c r="D11" s="58" t="e" cm="1">
        <f t="array" aca="1" ref="D11" ca="1">HYPERLINK("["&amp;MID(CELL("nomfichier",Navigation!A4),SEARCH("[",CELL("nomfichier",Navigation!A4))+1,SEARCH("]",CELL("nomfichier",Navigation!A4))-SEARCH("[",CELL("nomfichier",Navigation!A4))-1)&amp;"]"&amp;Navigation!A4&amp;"!A1","Allez à")</f>
        <v>#VALUE!</v>
      </c>
      <c r="E11" s="146" t="s">
        <v>14</v>
      </c>
      <c r="F11" s="146"/>
      <c r="G11" s="146"/>
      <c r="H11" s="136"/>
      <c r="I11" s="136"/>
      <c r="J11" s="136"/>
      <c r="K11" s="136"/>
      <c r="L11" s="136"/>
    </row>
    <row r="12" spans="2:12" ht="36" customHeight="1">
      <c r="B12" s="136"/>
      <c r="C12" s="136"/>
      <c r="D12" s="139"/>
      <c r="E12" s="63" t="s">
        <v>15</v>
      </c>
      <c r="F12" s="53">
        <f>Eau!E7</f>
        <v>300</v>
      </c>
      <c r="G12" s="52" t="s">
        <v>16</v>
      </c>
      <c r="H12" s="136"/>
      <c r="I12" s="136"/>
      <c r="J12" s="136"/>
      <c r="K12" s="136"/>
      <c r="L12" s="136"/>
    </row>
    <row r="13" spans="2:12" ht="19.5" customHeight="1">
      <c r="B13" s="3"/>
      <c r="C13" s="136"/>
      <c r="D13" s="58" t="e" cm="1">
        <f t="array" aca="1" ref="D13" ca="1">HYPERLINK("["&amp;MID(CELL("nomfichier",Navigation!A6),SEARCH("[",CELL("nomfichier",Navigation!A6))+1,SEARCH("]",CELL("nomfichier",Navigation!A6))-SEARCH("[",CELL("nomfichier",Navigation!A6))-1)&amp;"]"&amp;Navigation!A6&amp;"!A1","Allez à")</f>
        <v>#VALUE!</v>
      </c>
      <c r="E13" s="146" t="s">
        <v>17</v>
      </c>
      <c r="F13" s="146"/>
      <c r="G13" s="146"/>
      <c r="H13" s="136"/>
      <c r="I13" s="136"/>
      <c r="J13" s="136"/>
      <c r="K13" s="136"/>
      <c r="L13" s="136"/>
    </row>
    <row r="14" spans="2:12" ht="36" customHeight="1">
      <c r="B14" s="136"/>
      <c r="C14" s="136"/>
      <c r="D14" s="139"/>
      <c r="E14" s="63" t="s">
        <v>18</v>
      </c>
      <c r="F14" s="54">
        <f>Santé!E7</f>
        <v>2.5200000000000005</v>
      </c>
      <c r="G14" s="55" t="s">
        <v>19</v>
      </c>
      <c r="H14" s="136"/>
      <c r="I14" s="136"/>
      <c r="J14" s="136"/>
      <c r="K14" s="136"/>
      <c r="L14" s="136"/>
    </row>
    <row r="15" spans="2:12" ht="19.5" customHeight="1">
      <c r="B15" s="3"/>
      <c r="C15" s="136"/>
      <c r="D15" s="58" t="e" cm="1">
        <f t="array" aca="1" ref="D15" ca="1">HYPERLINK("["&amp;MID(CELL("nomfichier",Navigation!A5),SEARCH("[",CELL("nomfichier",Navigation!A5))+1,SEARCH("]",CELL("nomfichier",Navigation!A5))-SEARCH("[",CELL("nomfichier",Navigation!A5))-1)&amp;"]"&amp;Navigation!A5&amp;"!A1","Allez à")</f>
        <v>#VALUE!</v>
      </c>
      <c r="E15" s="146" t="s">
        <v>20</v>
      </c>
      <c r="F15" s="146"/>
      <c r="G15" s="146"/>
      <c r="H15" s="136"/>
      <c r="I15" s="136"/>
      <c r="J15" s="136"/>
      <c r="K15" s="136"/>
      <c r="L15" s="136"/>
    </row>
    <row r="16" spans="2:12" ht="36" customHeight="1">
      <c r="B16" s="136"/>
      <c r="C16" s="136"/>
      <c r="D16" s="139"/>
      <c r="E16" s="63" t="s">
        <v>21</v>
      </c>
      <c r="F16" s="53">
        <f>Sécurité_civile!E7</f>
        <v>115</v>
      </c>
      <c r="G16" s="52" t="s">
        <v>22</v>
      </c>
      <c r="H16" s="136"/>
      <c r="I16" s="136"/>
      <c r="J16" s="136"/>
      <c r="K16" s="136"/>
      <c r="L16" s="136"/>
    </row>
    <row r="17" spans="1:7" ht="19.5" customHeight="1">
      <c r="A17" s="136"/>
      <c r="B17" s="136"/>
      <c r="C17" s="136"/>
      <c r="D17" s="58" t="e" cm="1">
        <f t="array" aca="1" ref="D17" ca="1">HYPERLINK("["&amp;MID(CELL("nomfichier",Navigation!A3),SEARCH("[",CELL("nomfichier",Navigation!A3))+1,SEARCH("]",CELL("nomfichier",Navigation!A3))-SEARCH("[",CELL("nomfichier",Navigation!A3))-1)&amp;"]"&amp;Navigation!A3&amp;"!A1","Allez à")</f>
        <v>#VALUE!</v>
      </c>
      <c r="E17" s="146" t="s">
        <v>23</v>
      </c>
      <c r="F17" s="146"/>
      <c r="G17" s="146"/>
    </row>
    <row r="18" spans="1:7" ht="36" customHeight="1">
      <c r="A18" s="136"/>
      <c r="B18" s="136"/>
      <c r="C18" s="136"/>
      <c r="D18" s="139"/>
      <c r="E18" s="63" t="s">
        <v>24</v>
      </c>
      <c r="F18" s="53">
        <f>ROUND(Prévention!E7,0)</f>
        <v>125</v>
      </c>
      <c r="G18" s="52" t="s">
        <v>25</v>
      </c>
    </row>
    <row r="19" spans="1:7" ht="19.5" customHeight="1">
      <c r="A19" s="136"/>
      <c r="B19" s="3"/>
      <c r="C19" s="136"/>
      <c r="D19" s="59" t="e" cm="1">
        <f t="array" aca="1" ref="D19" ca="1">HYPERLINK("["&amp;MID(CELL("nomfichier",Navigation!A11),SEARCH("[",CELL("nomfichier",Navigation!A11))+1,SEARCH("]",CELL("nomfichier",Navigation!A11))-SEARCH("[",CELL("nomfichier",Navigation!A11))-1)&amp;"]"&amp;Navigation!A11&amp;"!A1","Allez à")</f>
        <v>#VALUE!</v>
      </c>
      <c r="E19" s="146" t="s">
        <v>26</v>
      </c>
      <c r="F19" s="146"/>
      <c r="G19" s="146"/>
    </row>
    <row r="20" spans="1:7" ht="36" customHeight="1">
      <c r="A20" s="136"/>
      <c r="B20" s="136"/>
      <c r="C20" s="136"/>
      <c r="D20" s="139"/>
      <c r="E20" s="63" t="s">
        <v>27</v>
      </c>
      <c r="F20" s="53">
        <f>Villes!E7</f>
        <v>18</v>
      </c>
      <c r="G20" s="52" t="s">
        <v>28</v>
      </c>
    </row>
    <row r="21" spans="1:7" ht="36" customHeight="1">
      <c r="A21" s="136"/>
      <c r="B21" s="136"/>
      <c r="C21" s="136"/>
      <c r="D21" s="139"/>
      <c r="E21" s="63" t="s">
        <v>29</v>
      </c>
      <c r="F21" s="54">
        <f>Villes!E8</f>
        <v>500</v>
      </c>
      <c r="G21" s="55" t="s">
        <v>30</v>
      </c>
    </row>
    <row r="22" spans="1:7" ht="19.5" customHeight="1">
      <c r="A22" s="136"/>
      <c r="B22" s="136"/>
      <c r="C22" s="136"/>
      <c r="D22" s="59" t="e" cm="1">
        <f t="array" aca="1" ref="D22" ca="1">HYPERLINK("["&amp;MID(CELL("nomfichier",Navigation!A10),SEARCH("[",CELL("nomfichier",Navigation!A10))+1,SEARCH("]",CELL("nomfichier",Navigation!A10))-SEARCH("[",CELL("nomfichier",Navigation!A10))-1)&amp;"]"&amp;Navigation!A10&amp;"!A1","Allez à")</f>
        <v>#VALUE!</v>
      </c>
      <c r="E22" s="146" t="s">
        <v>31</v>
      </c>
      <c r="F22" s="146"/>
      <c r="G22" s="146"/>
    </row>
    <row r="23" spans="1:7" ht="36" customHeight="1">
      <c r="A23" s="136"/>
      <c r="B23" s="136"/>
      <c r="C23" s="136"/>
      <c r="D23" s="139"/>
      <c r="E23" s="63" t="s">
        <v>32</v>
      </c>
      <c r="F23" s="53">
        <f>Bâtiments!E7</f>
        <v>31.299999999999997</v>
      </c>
      <c r="G23" s="52" t="s">
        <v>33</v>
      </c>
    </row>
    <row r="24" spans="1:7" ht="36" customHeight="1">
      <c r="A24" s="136"/>
      <c r="B24" s="136"/>
      <c r="C24" s="136"/>
      <c r="D24" s="140"/>
      <c r="E24" s="64" t="s">
        <v>34</v>
      </c>
      <c r="F24" s="60">
        <f>Bâtiments!E8</f>
        <v>500</v>
      </c>
      <c r="G24" s="123" t="s">
        <v>35</v>
      </c>
    </row>
    <row r="25" spans="1:7" ht="19.5" customHeight="1">
      <c r="A25" s="136"/>
      <c r="B25" s="136"/>
      <c r="C25" s="136"/>
      <c r="D25" s="58" t="e" cm="1">
        <f t="array" aca="1" ref="D25" ca="1">HYPERLINK("["&amp;MID(CELL("nomfichier",Navigation!A13),SEARCH("[",CELL("nomfichier",Navigation!A13))+1,SEARCH("]",CELL("nomfichier",Navigation!A13))-SEARCH("[",CELL("nomfichier",Navigation!A13))-1)&amp;"]"&amp;Navigation!A13&amp;"!A1","Allez à")</f>
        <v>#VALUE!</v>
      </c>
      <c r="E25" s="146" t="s">
        <v>36</v>
      </c>
      <c r="F25" s="146"/>
      <c r="G25" s="146"/>
    </row>
    <row r="26" spans="1:7" ht="36" customHeight="1">
      <c r="A26" s="136"/>
      <c r="B26" s="136"/>
      <c r="C26" s="136"/>
      <c r="D26" s="141"/>
      <c r="E26" s="65" t="s">
        <v>37</v>
      </c>
      <c r="F26" s="62">
        <f>Réseaux!E7</f>
        <v>15</v>
      </c>
      <c r="G26" s="61" t="s">
        <v>38</v>
      </c>
    </row>
    <row r="27" spans="1:7" ht="36" customHeight="1">
      <c r="A27" s="136"/>
      <c r="B27" s="136"/>
      <c r="C27" s="136"/>
      <c r="D27" s="139"/>
      <c r="E27" s="63" t="s">
        <v>39</v>
      </c>
      <c r="F27" s="53">
        <f>Réseaux!E9</f>
        <v>1.7</v>
      </c>
      <c r="G27" s="52" t="s">
        <v>38</v>
      </c>
    </row>
    <row r="28" spans="1:7" ht="36" customHeight="1">
      <c r="A28" s="136"/>
      <c r="B28" s="136"/>
      <c r="C28" s="136"/>
      <c r="D28" s="139"/>
      <c r="E28" s="63" t="s">
        <v>40</v>
      </c>
      <c r="F28" s="53">
        <f>Réseaux!E8</f>
        <v>325</v>
      </c>
      <c r="G28" s="52" t="s">
        <v>38</v>
      </c>
    </row>
    <row r="29" spans="1:7" ht="19.5" customHeight="1">
      <c r="A29" s="136"/>
      <c r="B29" s="136"/>
      <c r="C29" s="136"/>
      <c r="D29" s="58" t="e" cm="1">
        <f t="array" aca="1" ref="D29" ca="1">HYPERLINK("["&amp;MID(CELL("nomfichier",Navigation!A7),SEARCH("[",CELL("nomfichier",Navigation!A7))+1,SEARCH("]",CELL("nomfichier",Navigation!A7))-SEARCH("[",CELL("nomfichier",Navigation!A7))-1)&amp;"]"&amp;Navigation!A7&amp;"!A1","Allez à")</f>
        <v>#VALUE!</v>
      </c>
      <c r="E29" s="146" t="s">
        <v>41</v>
      </c>
      <c r="F29" s="146"/>
      <c r="G29" s="146"/>
    </row>
    <row r="30" spans="1:7" ht="36" customHeight="1">
      <c r="A30" s="136"/>
      <c r="B30" s="3"/>
      <c r="C30" s="136"/>
      <c r="D30" s="139"/>
      <c r="E30" s="63" t="s">
        <v>42</v>
      </c>
      <c r="F30" s="53">
        <f>Littoral!E7</f>
        <v>15</v>
      </c>
      <c r="G30" s="52" t="s">
        <v>43</v>
      </c>
    </row>
    <row r="31" spans="1:7" ht="36" customHeight="1">
      <c r="A31" s="136"/>
      <c r="B31" s="3"/>
      <c r="C31" s="136"/>
      <c r="D31" s="139"/>
      <c r="E31" s="63" t="s">
        <v>44</v>
      </c>
      <c r="F31" s="131">
        <f>Littoral!E8</f>
        <v>150</v>
      </c>
      <c r="G31" s="52" t="s">
        <v>45</v>
      </c>
    </row>
    <row r="32" spans="1:7" ht="19.5" customHeight="1">
      <c r="A32" s="136"/>
      <c r="B32" s="136"/>
      <c r="C32" s="136"/>
      <c r="D32" s="58" t="e" cm="1">
        <f t="array" aca="1" ref="D32" ca="1">HYPERLINK("["&amp;MID(CELL("nomfichier",Navigation!A9),SEARCH("[",CELL("nomfichier",Navigation!A9))+1,SEARCH("]",CELL("nomfichier",Navigation!A9))-SEARCH("[",CELL("nomfichier",Navigation!A9))-1)&amp;"]"&amp;Navigation!A9&amp;"!A1","Allez à")</f>
        <v>#VALUE!</v>
      </c>
      <c r="E32" s="146" t="s">
        <v>46</v>
      </c>
      <c r="F32" s="146"/>
      <c r="G32" s="146"/>
    </row>
    <row r="33" spans="2:7" ht="36" customHeight="1">
      <c r="B33" s="136"/>
      <c r="C33" s="136"/>
      <c r="D33" s="139"/>
      <c r="E33" s="63" t="s">
        <v>47</v>
      </c>
      <c r="F33" s="53">
        <f>ROUND(Forêt!E7,0)</f>
        <v>25</v>
      </c>
      <c r="G33" s="52" t="s">
        <v>48</v>
      </c>
    </row>
    <row r="34" spans="2:7" ht="19.5" customHeight="1">
      <c r="B34" s="3"/>
      <c r="C34" s="136"/>
      <c r="D34" s="58" t="e" cm="1">
        <f t="array" aca="1" ref="D34" ca="1">HYPERLINK("["&amp;MID(CELL("nomfichier",Navigation!A8),SEARCH("[",CELL("nomfichier",Navigation!A8))+1,SEARCH("]",CELL("nomfichier",Navigation!A8))-SEARCH("[",CELL("nomfichier",Navigation!A8))-1)&amp;"]"&amp;Navigation!A8&amp;"!A1","Allez à")</f>
        <v>#VALUE!</v>
      </c>
      <c r="E34" s="146" t="s">
        <v>49</v>
      </c>
      <c r="F34" s="146"/>
      <c r="G34" s="146"/>
    </row>
    <row r="35" spans="2:7" ht="36" customHeight="1">
      <c r="B35" s="3"/>
      <c r="C35" s="136"/>
      <c r="D35" s="139"/>
      <c r="E35" s="63" t="s">
        <v>50</v>
      </c>
      <c r="F35" s="53">
        <v>16.7</v>
      </c>
      <c r="G35" s="52" t="s">
        <v>51</v>
      </c>
    </row>
    <row r="36" spans="2:7" ht="36" customHeight="1">
      <c r="B36" s="3"/>
      <c r="C36" s="136"/>
      <c r="D36" s="139"/>
      <c r="E36" s="63" t="s">
        <v>52</v>
      </c>
      <c r="F36" s="53">
        <v>75</v>
      </c>
      <c r="G36" s="52" t="s">
        <v>53</v>
      </c>
    </row>
    <row r="37" spans="2:7" ht="30" customHeight="1">
      <c r="B37" s="136"/>
      <c r="C37" s="136"/>
      <c r="D37" s="58" t="e" cm="1">
        <f t="array" aca="1" ref="D37" ca="1">HYPERLINK("["&amp;MID(CELL("nomfichier",Navigation!A15),SEARCH("[",CELL("nomfichier",Navigation!A15))+1,SEARCH("]",CELL("nomfichier",Navigation!A15))-SEARCH("[",CELL("nomfichier",Navigation!A15))-1)&amp;"]"&amp;Navigation!A15&amp;"!A1","Allez à")</f>
        <v>#VALUE!</v>
      </c>
      <c r="E37" s="146" t="s">
        <v>54</v>
      </c>
      <c r="F37" s="146"/>
      <c r="G37" s="146"/>
    </row>
    <row r="38" spans="2:7" ht="30" customHeight="1">
      <c r="B38" s="136"/>
      <c r="C38" s="136"/>
      <c r="D38" s="119"/>
      <c r="E38" s="134" t="s">
        <v>55</v>
      </c>
      <c r="F38" s="133">
        <f>SUM(F9:F36)/1000</f>
        <v>2.3410799999999998</v>
      </c>
      <c r="G38" s="119"/>
    </row>
    <row r="39" spans="2:7" ht="15" customHeight="1">
      <c r="B39" s="136"/>
      <c r="C39" s="136"/>
      <c r="D39" s="136"/>
      <c r="E39" s="136"/>
      <c r="F39" s="132"/>
      <c r="G39" s="138"/>
    </row>
    <row r="40" spans="2:7" ht="15" customHeight="1">
      <c r="B40" s="136"/>
      <c r="C40" s="136"/>
      <c r="D40" s="136"/>
      <c r="E40" s="136"/>
      <c r="F40" s="142"/>
      <c r="G40" s="138"/>
    </row>
  </sheetData>
  <mergeCells count="13">
    <mergeCell ref="E37:G37"/>
    <mergeCell ref="E34:G34"/>
    <mergeCell ref="E25:G25"/>
    <mergeCell ref="D6:G6"/>
    <mergeCell ref="E15:G15"/>
    <mergeCell ref="E19:G19"/>
    <mergeCell ref="E22:G22"/>
    <mergeCell ref="E32:G32"/>
    <mergeCell ref="E17:G17"/>
    <mergeCell ref="E29:G29"/>
    <mergeCell ref="E11:G11"/>
    <mergeCell ref="E8:G8"/>
    <mergeCell ref="E13:G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C1E99-6EF3-4EA3-8377-40D0E45D8528}">
  <sheetPr codeName="Feuil14">
    <tabColor theme="3" tint="0.79998168889431442"/>
  </sheetPr>
  <dimension ref="A1:V49"/>
  <sheetViews>
    <sheetView showGridLines="0" tabSelected="1" workbookViewId="0">
      <pane ySplit="2" topLeftCell="A31" activePane="bottomLeft" state="frozen"/>
      <selection pane="bottomLeft" activeCell="H36" sqref="H36"/>
      <selection activeCell="G31" sqref="G31"/>
    </sheetView>
  </sheetViews>
  <sheetFormatPr defaultColWidth="11" defaultRowHeight="15.75"/>
  <cols>
    <col min="1" max="1" width="1.625" customWidth="1"/>
    <col min="2" max="2" width="20.5" customWidth="1"/>
    <col min="3" max="6" width="19.125" style="14" customWidth="1"/>
    <col min="7" max="13" width="19.125" customWidth="1"/>
  </cols>
  <sheetData>
    <row r="1" spans="1:22" ht="21.75" customHeight="1">
      <c r="A1" s="166" t="s">
        <v>78</v>
      </c>
      <c r="B1" s="166"/>
    </row>
    <row r="2" spans="1:22" s="66" customFormat="1" ht="25.5" customHeight="1">
      <c r="A2" s="4" t="s">
        <v>31</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72" customHeight="1">
      <c r="B7" s="249" t="s">
        <v>314</v>
      </c>
      <c r="C7" s="250"/>
      <c r="D7" s="251"/>
      <c r="E7" s="69">
        <f>SUM(H41:H45)</f>
        <v>31.299999999999997</v>
      </c>
      <c r="F7" s="200" t="s">
        <v>315</v>
      </c>
      <c r="G7" s="201"/>
      <c r="H7" s="200" t="s">
        <v>316</v>
      </c>
      <c r="I7" s="202"/>
      <c r="J7" s="201"/>
      <c r="K7" s="249" t="s">
        <v>317</v>
      </c>
      <c r="L7" s="250"/>
      <c r="M7" s="251"/>
    </row>
    <row r="8" spans="1:22" s="68" customFormat="1" ht="93.75" customHeight="1">
      <c r="B8" s="84"/>
      <c r="C8" s="31"/>
      <c r="D8" s="31"/>
      <c r="E8" s="69">
        <f>ROUND(H46,-2)</f>
        <v>500</v>
      </c>
      <c r="F8" s="200" t="s">
        <v>318</v>
      </c>
      <c r="G8" s="20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59" t="s">
        <v>88</v>
      </c>
      <c r="K12" s="159"/>
    </row>
    <row r="13" spans="1:22" ht="15.75" customHeight="1">
      <c r="A13" s="1"/>
      <c r="C13" s="173" t="s">
        <v>319</v>
      </c>
      <c r="D13" s="173"/>
      <c r="E13" s="173"/>
      <c r="F13" s="173"/>
      <c r="G13" s="173"/>
      <c r="H13" s="16">
        <v>125</v>
      </c>
      <c r="I13" s="8" t="s">
        <v>136</v>
      </c>
      <c r="J13" s="230" t="s">
        <v>320</v>
      </c>
      <c r="K13" s="230"/>
    </row>
    <row r="14" spans="1:22" ht="15.75" customHeight="1">
      <c r="A14" s="1"/>
      <c r="C14" s="173" t="s">
        <v>321</v>
      </c>
      <c r="D14" s="173"/>
      <c r="E14" s="173"/>
      <c r="F14" s="173"/>
      <c r="G14" s="173"/>
      <c r="H14" s="16">
        <f>2695</f>
        <v>2695</v>
      </c>
      <c r="I14" s="8" t="s">
        <v>144</v>
      </c>
      <c r="J14" s="230" t="s">
        <v>322</v>
      </c>
      <c r="K14" s="230"/>
    </row>
    <row r="15" spans="1:22">
      <c r="A15" s="1"/>
      <c r="C15" s="173" t="s">
        <v>323</v>
      </c>
      <c r="D15" s="173"/>
      <c r="E15" s="173"/>
      <c r="F15" s="173"/>
      <c r="G15" s="173"/>
      <c r="H15" s="16">
        <f>1001.7+1562.7</f>
        <v>2564.4</v>
      </c>
      <c r="I15" s="8" t="s">
        <v>144</v>
      </c>
      <c r="J15" s="230" t="s">
        <v>322</v>
      </c>
      <c r="K15" s="230"/>
    </row>
    <row r="16" spans="1:22">
      <c r="A16" s="1"/>
      <c r="C16" s="173" t="s">
        <v>324</v>
      </c>
      <c r="D16" s="173"/>
      <c r="E16" s="173"/>
      <c r="F16" s="173"/>
      <c r="G16" s="173"/>
      <c r="H16" s="16">
        <v>6900</v>
      </c>
      <c r="I16" s="8" t="s">
        <v>144</v>
      </c>
      <c r="J16" s="230" t="s">
        <v>325</v>
      </c>
      <c r="K16" s="230"/>
    </row>
    <row r="17" spans="1:11">
      <c r="A17" s="1"/>
      <c r="C17" s="173" t="s">
        <v>326</v>
      </c>
      <c r="D17" s="173"/>
      <c r="E17" s="173"/>
      <c r="F17" s="173"/>
      <c r="G17" s="173"/>
      <c r="H17" s="16">
        <v>9600</v>
      </c>
      <c r="I17" s="10" t="s">
        <v>144</v>
      </c>
      <c r="J17" s="230" t="s">
        <v>327</v>
      </c>
      <c r="K17" s="230"/>
    </row>
    <row r="18" spans="1:11">
      <c r="A18" s="1"/>
      <c r="C18" s="173" t="s">
        <v>328</v>
      </c>
      <c r="D18" s="173"/>
      <c r="E18" s="173"/>
      <c r="F18" s="173"/>
      <c r="G18" s="173"/>
      <c r="H18" s="16">
        <v>4800</v>
      </c>
      <c r="I18" s="10" t="s">
        <v>144</v>
      </c>
      <c r="J18" s="230" t="s">
        <v>327</v>
      </c>
      <c r="K18" s="230"/>
    </row>
    <row r="19" spans="1:11">
      <c r="A19" s="1"/>
      <c r="C19" s="173" t="s">
        <v>329</v>
      </c>
      <c r="D19" s="173"/>
      <c r="E19" s="173"/>
      <c r="F19" s="173"/>
      <c r="G19" s="173"/>
      <c r="H19" s="16">
        <v>10</v>
      </c>
      <c r="I19" s="8" t="s">
        <v>144</v>
      </c>
      <c r="J19" s="230" t="s">
        <v>330</v>
      </c>
      <c r="K19" s="230"/>
    </row>
    <row r="20" spans="1:11">
      <c r="A20" s="1"/>
      <c r="C20" s="173" t="s">
        <v>331</v>
      </c>
      <c r="D20" s="173"/>
      <c r="E20" s="173"/>
      <c r="F20" s="173"/>
      <c r="G20" s="173"/>
      <c r="H20" s="16">
        <v>7</v>
      </c>
      <c r="I20" s="8" t="s">
        <v>144</v>
      </c>
      <c r="J20" s="230" t="s">
        <v>332</v>
      </c>
      <c r="K20" s="230"/>
    </row>
    <row r="21" spans="1:11">
      <c r="A21" s="1"/>
      <c r="C21" s="173" t="s">
        <v>333</v>
      </c>
      <c r="D21" s="174"/>
      <c r="E21" s="174"/>
      <c r="F21" s="174"/>
      <c r="G21" s="175"/>
      <c r="H21" s="16">
        <v>62000</v>
      </c>
      <c r="I21" s="8" t="s">
        <v>334</v>
      </c>
      <c r="J21" s="257" t="s">
        <v>335</v>
      </c>
      <c r="K21" s="257"/>
    </row>
    <row r="22" spans="1:11">
      <c r="A22" s="1"/>
      <c r="C22" s="173" t="s">
        <v>336</v>
      </c>
      <c r="D22" s="174"/>
      <c r="E22" s="174"/>
      <c r="F22" s="174"/>
      <c r="G22" s="175"/>
      <c r="H22" s="16">
        <v>24</v>
      </c>
      <c r="I22" s="8" t="s">
        <v>168</v>
      </c>
      <c r="J22" s="257" t="s">
        <v>337</v>
      </c>
      <c r="K22" s="257"/>
    </row>
    <row r="23" spans="1:11">
      <c r="A23" s="1"/>
      <c r="C23" s="15"/>
      <c r="D23" s="15"/>
      <c r="E23" s="15"/>
      <c r="F23" s="15"/>
      <c r="G23" s="7"/>
      <c r="H23" s="7"/>
      <c r="I23" s="7"/>
      <c r="J23" s="7"/>
      <c r="K23" s="7"/>
    </row>
    <row r="24" spans="1:11">
      <c r="A24" s="1"/>
    </row>
    <row r="25" spans="1:11" s="70" customFormat="1">
      <c r="B25" s="71" t="s">
        <v>100</v>
      </c>
      <c r="C25" s="72"/>
      <c r="D25" s="72"/>
      <c r="E25" s="72"/>
      <c r="F25" s="72"/>
    </row>
    <row r="26" spans="1:11">
      <c r="A26" s="1"/>
    </row>
    <row r="27" spans="1:11" ht="21" customHeight="1">
      <c r="A27" s="1"/>
      <c r="B27" s="75"/>
      <c r="C27" s="151" t="s">
        <v>79</v>
      </c>
      <c r="D27" s="151"/>
      <c r="E27" s="151"/>
      <c r="F27" s="151"/>
      <c r="G27" s="151"/>
      <c r="H27" s="74" t="s">
        <v>80</v>
      </c>
      <c r="I27" s="74" t="s">
        <v>81</v>
      </c>
      <c r="J27" s="159" t="s">
        <v>101</v>
      </c>
      <c r="K27" s="159"/>
    </row>
    <row r="28" spans="1:11" ht="34.5" customHeight="1">
      <c r="A28" s="1"/>
      <c r="C28" s="173" t="s">
        <v>338</v>
      </c>
      <c r="D28" s="174"/>
      <c r="E28" s="174"/>
      <c r="F28" s="174"/>
      <c r="G28" s="175"/>
      <c r="H28" s="25">
        <v>0.1</v>
      </c>
      <c r="I28" s="8" t="s">
        <v>238</v>
      </c>
      <c r="J28" s="206" t="s">
        <v>339</v>
      </c>
      <c r="K28" s="207"/>
    </row>
    <row r="29" spans="1:11" ht="34.5" customHeight="1">
      <c r="A29" s="1"/>
      <c r="C29" s="173" t="s">
        <v>340</v>
      </c>
      <c r="D29" s="174"/>
      <c r="E29" s="174"/>
      <c r="F29" s="174"/>
      <c r="G29" s="175"/>
      <c r="H29" s="12">
        <v>10</v>
      </c>
      <c r="I29" s="10" t="s">
        <v>118</v>
      </c>
      <c r="J29" s="255" t="s">
        <v>341</v>
      </c>
      <c r="K29" s="256"/>
    </row>
    <row r="30" spans="1:11" ht="34.5" customHeight="1">
      <c r="A30" s="1"/>
      <c r="C30" s="173" t="s">
        <v>342</v>
      </c>
      <c r="D30" s="174"/>
      <c r="E30" s="174"/>
      <c r="F30" s="174"/>
      <c r="G30" s="175"/>
      <c r="H30" s="12">
        <v>20</v>
      </c>
      <c r="I30" s="10" t="s">
        <v>343</v>
      </c>
      <c r="J30" s="155" t="s">
        <v>344</v>
      </c>
      <c r="K30" s="156"/>
    </row>
    <row r="31" spans="1:11" ht="34.5" customHeight="1">
      <c r="A31" s="1"/>
      <c r="C31" s="173" t="s">
        <v>345</v>
      </c>
      <c r="D31" s="174"/>
      <c r="E31" s="174"/>
      <c r="F31" s="174"/>
      <c r="G31" s="175"/>
      <c r="H31" s="12">
        <v>1</v>
      </c>
      <c r="I31" s="10" t="s">
        <v>346</v>
      </c>
      <c r="J31" s="155"/>
      <c r="K31" s="156"/>
    </row>
    <row r="32" spans="1:11" ht="34.5" customHeight="1">
      <c r="A32" s="1"/>
      <c r="C32" s="173" t="s">
        <v>347</v>
      </c>
      <c r="D32" s="174"/>
      <c r="E32" s="174"/>
      <c r="F32" s="174"/>
      <c r="G32" s="175"/>
      <c r="H32" s="12">
        <v>200</v>
      </c>
      <c r="I32" s="10" t="s">
        <v>348</v>
      </c>
      <c r="J32" s="154"/>
      <c r="K32" s="154"/>
    </row>
    <row r="33" spans="1:11" ht="48.75" customHeight="1">
      <c r="A33" s="1"/>
      <c r="C33" s="173" t="s">
        <v>349</v>
      </c>
      <c r="D33" s="174"/>
      <c r="E33" s="174"/>
      <c r="F33" s="174"/>
      <c r="G33" s="175"/>
      <c r="H33" s="17">
        <v>1675000</v>
      </c>
      <c r="I33" s="10" t="s">
        <v>350</v>
      </c>
      <c r="J33" s="255" t="s">
        <v>351</v>
      </c>
      <c r="K33" s="256"/>
    </row>
    <row r="34" spans="1:11" ht="65.25" customHeight="1">
      <c r="A34" s="1"/>
      <c r="C34" s="173" t="s">
        <v>352</v>
      </c>
      <c r="D34" s="174"/>
      <c r="E34" s="174"/>
      <c r="F34" s="174"/>
      <c r="G34" s="175"/>
      <c r="H34" s="17">
        <v>2951</v>
      </c>
      <c r="I34" s="10" t="s">
        <v>289</v>
      </c>
      <c r="J34" s="207" t="s">
        <v>353</v>
      </c>
      <c r="K34" s="207"/>
    </row>
    <row r="35" spans="1:11">
      <c r="A35" s="1"/>
    </row>
    <row r="36" spans="1:11">
      <c r="A36" s="1"/>
    </row>
    <row r="37" spans="1:11" s="70" customFormat="1">
      <c r="B37" s="71" t="s">
        <v>116</v>
      </c>
      <c r="C37" s="72"/>
      <c r="D37" s="72"/>
      <c r="E37" s="72"/>
      <c r="F37" s="72"/>
    </row>
    <row r="40" spans="1:11" ht="21" customHeight="1">
      <c r="A40" s="1"/>
      <c r="B40" s="75"/>
      <c r="C40" s="151" t="s">
        <v>79</v>
      </c>
      <c r="D40" s="151"/>
      <c r="E40" s="151"/>
      <c r="F40" s="151"/>
      <c r="G40" s="151"/>
      <c r="H40" s="74" t="s">
        <v>80</v>
      </c>
      <c r="I40" s="74" t="s">
        <v>81</v>
      </c>
      <c r="J40" s="159" t="s">
        <v>101</v>
      </c>
      <c r="K40" s="159"/>
    </row>
    <row r="41" spans="1:11" ht="42" customHeight="1">
      <c r="B41" s="31"/>
      <c r="C41" s="252" t="s">
        <v>354</v>
      </c>
      <c r="D41" s="253"/>
      <c r="E41" s="253"/>
      <c r="F41" s="253"/>
      <c r="G41" s="254"/>
      <c r="H41" s="24">
        <f>H29</f>
        <v>10</v>
      </c>
      <c r="I41" s="43" t="s">
        <v>118</v>
      </c>
      <c r="J41" s="153"/>
      <c r="K41" s="154"/>
    </row>
    <row r="42" spans="1:11" ht="42" customHeight="1">
      <c r="B42" s="31"/>
      <c r="C42" s="252" t="s">
        <v>355</v>
      </c>
      <c r="D42" s="253"/>
      <c r="E42" s="253"/>
      <c r="F42" s="253"/>
      <c r="G42" s="254"/>
      <c r="H42" s="24">
        <f>H32*H21/4/1000000</f>
        <v>3.1</v>
      </c>
      <c r="I42" s="43" t="s">
        <v>118</v>
      </c>
      <c r="J42" s="155" t="s">
        <v>356</v>
      </c>
      <c r="K42" s="156"/>
    </row>
    <row r="43" spans="1:11" ht="22.5" customHeight="1">
      <c r="B43" s="31"/>
      <c r="C43" s="252" t="s">
        <v>357</v>
      </c>
      <c r="D43" s="253"/>
      <c r="E43" s="253"/>
      <c r="F43" s="253"/>
      <c r="G43" s="254"/>
      <c r="H43" s="24">
        <f>H30*Hyp_communes!D7/1000000</f>
        <v>1.2</v>
      </c>
      <c r="I43" s="43" t="s">
        <v>118</v>
      </c>
      <c r="J43" s="153"/>
      <c r="K43" s="154"/>
    </row>
    <row r="44" spans="1:11" ht="36.75" customHeight="1">
      <c r="B44" s="31"/>
      <c r="C44" s="252" t="s">
        <v>358</v>
      </c>
      <c r="D44" s="253"/>
      <c r="E44" s="253"/>
      <c r="F44" s="253"/>
      <c r="G44" s="254"/>
      <c r="H44" s="23">
        <f>H19</f>
        <v>10</v>
      </c>
      <c r="I44" s="43" t="s">
        <v>118</v>
      </c>
      <c r="J44" s="206" t="s">
        <v>359</v>
      </c>
      <c r="K44" s="207"/>
    </row>
    <row r="45" spans="1:11" ht="36.75" customHeight="1">
      <c r="B45" s="31"/>
      <c r="C45" s="252" t="s">
        <v>360</v>
      </c>
      <c r="D45" s="253"/>
      <c r="E45" s="253"/>
      <c r="F45" s="253"/>
      <c r="G45" s="254"/>
      <c r="H45" s="23">
        <f>H20</f>
        <v>7</v>
      </c>
      <c r="I45" s="43" t="s">
        <v>118</v>
      </c>
      <c r="J45" s="206" t="s">
        <v>361</v>
      </c>
      <c r="K45" s="207"/>
    </row>
    <row r="46" spans="1:11" ht="24.75" customHeight="1">
      <c r="C46" s="173" t="s">
        <v>362</v>
      </c>
      <c r="D46" s="174"/>
      <c r="E46" s="174"/>
      <c r="F46" s="174"/>
      <c r="G46" s="175"/>
      <c r="H46" s="12">
        <f>H34*0.1*H33/1000000</f>
        <v>494.29250000000008</v>
      </c>
      <c r="I46" s="8" t="s">
        <v>118</v>
      </c>
      <c r="J46" s="191"/>
      <c r="K46" s="191"/>
    </row>
    <row r="48" spans="1:11">
      <c r="H48" s="145"/>
    </row>
    <row r="49" spans="8:8">
      <c r="H49" s="145">
        <f>H34*H33</f>
        <v>4942925000</v>
      </c>
    </row>
  </sheetData>
  <mergeCells count="62">
    <mergeCell ref="C21:G21"/>
    <mergeCell ref="J21:K21"/>
    <mergeCell ref="K6:M6"/>
    <mergeCell ref="C18:G18"/>
    <mergeCell ref="A1:B1"/>
    <mergeCell ref="B6:D6"/>
    <mergeCell ref="E6:G6"/>
    <mergeCell ref="H6:J6"/>
    <mergeCell ref="J18:K18"/>
    <mergeCell ref="C15:G15"/>
    <mergeCell ref="J15:K15"/>
    <mergeCell ref="C16:G16"/>
    <mergeCell ref="B7:D7"/>
    <mergeCell ref="H7:J7"/>
    <mergeCell ref="K7:M7"/>
    <mergeCell ref="C13:G13"/>
    <mergeCell ref="C34:G34"/>
    <mergeCell ref="J34:K34"/>
    <mergeCell ref="C29:G29"/>
    <mergeCell ref="J29:K29"/>
    <mergeCell ref="C30:G30"/>
    <mergeCell ref="J30:K30"/>
    <mergeCell ref="C17:G17"/>
    <mergeCell ref="J17:K17"/>
    <mergeCell ref="C32:G32"/>
    <mergeCell ref="J32:K32"/>
    <mergeCell ref="C33:G33"/>
    <mergeCell ref="J33:K33"/>
    <mergeCell ref="C27:G27"/>
    <mergeCell ref="J27:K27"/>
    <mergeCell ref="C28:G28"/>
    <mergeCell ref="J28:K28"/>
    <mergeCell ref="C19:G19"/>
    <mergeCell ref="J19:K19"/>
    <mergeCell ref="C20:G20"/>
    <mergeCell ref="J20:K20"/>
    <mergeCell ref="C22:G22"/>
    <mergeCell ref="J22:K22"/>
    <mergeCell ref="C46:G46"/>
    <mergeCell ref="J46:K46"/>
    <mergeCell ref="C31:G31"/>
    <mergeCell ref="J31:K31"/>
    <mergeCell ref="C41:G41"/>
    <mergeCell ref="J41:K41"/>
    <mergeCell ref="C42:G42"/>
    <mergeCell ref="J42:K42"/>
    <mergeCell ref="C45:G45"/>
    <mergeCell ref="J45:K45"/>
    <mergeCell ref="C43:G43"/>
    <mergeCell ref="J43:K43"/>
    <mergeCell ref="C44:G44"/>
    <mergeCell ref="J44:K44"/>
    <mergeCell ref="C40:G40"/>
    <mergeCell ref="J40:K40"/>
    <mergeCell ref="J16:K16"/>
    <mergeCell ref="C12:G12"/>
    <mergeCell ref="J12:K12"/>
    <mergeCell ref="F7:G7"/>
    <mergeCell ref="C14:G14"/>
    <mergeCell ref="J14:K14"/>
    <mergeCell ref="J13:K13"/>
    <mergeCell ref="F8:G8"/>
  </mergeCells>
  <hyperlinks>
    <hyperlink ref="A1" location="Sommaire!A1" display="Retour sommaire" xr:uid="{B84C5189-D9D0-4BCD-8F79-F82B89E93B7C}"/>
    <hyperlink ref="J14:K14" r:id="rId1" display="PLF 2022, Politique immobilière de l'état, P272" xr:uid="{AADDEB8B-AD49-4FB2-8A6B-A3E90CAD3F3D}"/>
    <hyperlink ref="J15:K15" r:id="rId2" display="PLF 2022, Politique immobilière de l'état, P272" xr:uid="{BD7DD74F-3C73-49BC-9D36-4AC3ABC93AB8}"/>
    <hyperlink ref="J16:K16" r:id="rId3" display="Panorama des financements climat, 2021" xr:uid="{5081D635-F2DF-4167-9E9E-3C017F6E813D}"/>
    <hyperlink ref="J18:K18" r:id="rId4" display="USH, 2021" xr:uid="{4F006B20-0726-4C94-9947-621EFB0B6450}"/>
    <hyperlink ref="J19:K19" r:id="rId5" display="Assemblée nationale, 2020" xr:uid="{446CB6A7-B8D4-4EEE-B1B9-B3AA157415C5}"/>
    <hyperlink ref="J20:K20" r:id="rId6" display="Nouvel obs, 2016" xr:uid="{E10355FB-8417-4FF8-9C3C-AE1121839919}"/>
    <hyperlink ref="J21:K21" r:id="rId7" display="Effy" xr:uid="{2E32B452-E983-4796-9416-42ED5887CE94}"/>
    <hyperlink ref="J13:K13" r:id="rId8" display="FFB 2021" xr:uid="{B30D45A3-7AD6-4A6A-8A41-BB16E23F755E}"/>
    <hyperlink ref="J17:K17" r:id="rId9" display="USH, 2021" xr:uid="{3D4F19F4-AA9D-407B-9225-F66CF2EA1DD3}"/>
    <hyperlink ref="J17:K18" r:id="rId10" display="USH, 2021" xr:uid="{0A028DD6-805F-4177-9849-34FCC5806C87}"/>
    <hyperlink ref="J22:K22" r:id="rId11" display="I4CE,2021" xr:uid="{436755E8-AA6A-410B-AF64-3E0B5E22DF91}"/>
    <hyperlink ref="J29:K29" r:id="rId12" display="Sur la base des coûts évoqués lors d'une question parlementaire" xr:uid="{1970212C-F53C-49F6-BD53-6434BFA83549}"/>
    <hyperlink ref="J33:K33" r:id="rId13" display=" MEEDDM/CGDD/SOeS, Sit@del2 - Surface de locaux autorisés par type et par département (1996-2020)" xr:uid="{F4DD8622-3F91-4D14-84D1-3F0CEB70EEEB}"/>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9617-25F8-4007-AF5C-D01795E6B057}">
  <sheetPr codeName="Feuil13">
    <tabColor theme="3" tint="0.79998168889431442"/>
  </sheetPr>
  <dimension ref="A1:V80"/>
  <sheetViews>
    <sheetView showGridLines="0" workbookViewId="0">
      <pane ySplit="2" topLeftCell="A7" activePane="bottomLeft" state="frozen"/>
      <selection pane="bottomLeft" sqref="A1:B1"/>
      <selection activeCell="G31" sqref="G31"/>
    </sheetView>
  </sheetViews>
  <sheetFormatPr defaultColWidth="11" defaultRowHeight="15.75"/>
  <cols>
    <col min="1" max="1" width="1.625" customWidth="1"/>
    <col min="2" max="2" width="20.625" customWidth="1"/>
    <col min="3" max="6" width="19.125" style="14" customWidth="1"/>
    <col min="7" max="10" width="19.125" customWidth="1"/>
    <col min="11" max="11" width="24.5" customWidth="1"/>
    <col min="12" max="12" width="19.125" customWidth="1"/>
    <col min="13" max="13" width="14.5" customWidth="1"/>
  </cols>
  <sheetData>
    <row r="1" spans="1:22" ht="21.75" customHeight="1">
      <c r="A1" s="166" t="s">
        <v>78</v>
      </c>
      <c r="B1" s="166"/>
    </row>
    <row r="2" spans="1:22" s="66" customFormat="1" ht="25.5" customHeight="1">
      <c r="A2" s="4" t="s">
        <v>36</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97.5" customHeight="1">
      <c r="B7" s="282" t="s">
        <v>363</v>
      </c>
      <c r="C7" s="282"/>
      <c r="D7" s="282"/>
      <c r="E7" s="69">
        <f>(9+H71)</f>
        <v>15</v>
      </c>
      <c r="F7" s="200" t="s">
        <v>364</v>
      </c>
      <c r="G7" s="201"/>
      <c r="H7" s="200" t="s">
        <v>365</v>
      </c>
      <c r="I7" s="202"/>
      <c r="J7" s="201"/>
      <c r="K7" s="118">
        <f>H22</f>
        <v>22</v>
      </c>
      <c r="L7" s="152" t="s">
        <v>366</v>
      </c>
      <c r="M7" s="152"/>
    </row>
    <row r="8" spans="1:22" s="68" customFormat="1" ht="84" customHeight="1">
      <c r="B8" s="80">
        <f>H25</f>
        <v>13</v>
      </c>
      <c r="C8" s="164" t="s">
        <v>367</v>
      </c>
      <c r="D8" s="195"/>
      <c r="E8" s="69">
        <f>H63</f>
        <v>325</v>
      </c>
      <c r="F8" s="200" t="s">
        <v>368</v>
      </c>
      <c r="G8" s="201"/>
      <c r="H8" s="116">
        <f>H66/1000</f>
        <v>1.1000000000000001</v>
      </c>
      <c r="I8" s="283" t="s">
        <v>367</v>
      </c>
      <c r="J8" s="283"/>
      <c r="K8" s="83">
        <f>H23</f>
        <v>100</v>
      </c>
      <c r="L8" s="224" t="s">
        <v>369</v>
      </c>
      <c r="M8" s="226"/>
    </row>
    <row r="9" spans="1:22" s="68" customFormat="1" ht="62.25" customHeight="1">
      <c r="B9" s="80">
        <f>H33</f>
        <v>6</v>
      </c>
      <c r="C9" s="164" t="s">
        <v>370</v>
      </c>
      <c r="D9" s="195"/>
      <c r="E9" s="93">
        <f>H79+H80</f>
        <v>1.7</v>
      </c>
      <c r="F9" s="200" t="s">
        <v>39</v>
      </c>
      <c r="G9" s="201"/>
      <c r="H9" s="116">
        <f>H39/1000</f>
        <v>2.2000000000000002</v>
      </c>
      <c r="I9" s="283" t="s">
        <v>370</v>
      </c>
      <c r="J9" s="283"/>
      <c r="K9" s="83">
        <f>H24</f>
        <v>2</v>
      </c>
      <c r="L9" s="287" t="s">
        <v>371</v>
      </c>
      <c r="M9" s="288"/>
    </row>
    <row r="10" spans="1:22" s="68" customFormat="1" ht="62.25" customHeight="1">
      <c r="B10" s="80">
        <f>(H18+H19)/1000</f>
        <v>6.8</v>
      </c>
      <c r="C10" s="164" t="s">
        <v>372</v>
      </c>
      <c r="D10" s="195"/>
      <c r="E10" s="117">
        <f>H39/1000</f>
        <v>2.2000000000000002</v>
      </c>
      <c r="F10" s="203" t="s">
        <v>373</v>
      </c>
      <c r="G10" s="204"/>
      <c r="H10" s="69">
        <f>H74+H76</f>
        <v>408</v>
      </c>
      <c r="I10" s="283" t="s">
        <v>372</v>
      </c>
      <c r="J10" s="283"/>
      <c r="L10" s="32"/>
      <c r="M10" s="32"/>
    </row>
    <row r="12" spans="1:22" s="70" customFormat="1">
      <c r="B12" s="71" t="s">
        <v>87</v>
      </c>
      <c r="C12" s="72"/>
      <c r="D12" s="72"/>
      <c r="E12" s="72"/>
      <c r="F12" s="72"/>
    </row>
    <row r="14" spans="1:22" ht="30" customHeight="1">
      <c r="A14" s="1"/>
      <c r="B14" s="73" t="s">
        <v>374</v>
      </c>
      <c r="C14" s="151" t="s">
        <v>79</v>
      </c>
      <c r="D14" s="151"/>
      <c r="E14" s="151"/>
      <c r="F14" s="151"/>
      <c r="G14" s="151"/>
      <c r="H14" s="74" t="s">
        <v>80</v>
      </c>
      <c r="I14" s="74" t="s">
        <v>81</v>
      </c>
      <c r="J14" s="168" t="s">
        <v>88</v>
      </c>
      <c r="K14" s="169"/>
    </row>
    <row r="15" spans="1:22" ht="33" customHeight="1">
      <c r="A15" s="1"/>
      <c r="B15" s="8" t="s">
        <v>375</v>
      </c>
      <c r="C15" s="173" t="s">
        <v>376</v>
      </c>
      <c r="D15" s="174"/>
      <c r="E15" s="174"/>
      <c r="F15" s="174"/>
      <c r="G15" s="175"/>
      <c r="H15" s="96">
        <v>2.8</v>
      </c>
      <c r="I15" s="10" t="s">
        <v>136</v>
      </c>
      <c r="J15" s="182" t="s">
        <v>377</v>
      </c>
      <c r="K15" s="183"/>
    </row>
    <row r="16" spans="1:22" ht="33" customHeight="1">
      <c r="A16" s="1"/>
      <c r="B16" s="8" t="s">
        <v>375</v>
      </c>
      <c r="C16" s="173" t="s">
        <v>378</v>
      </c>
      <c r="D16" s="174"/>
      <c r="E16" s="174"/>
      <c r="F16" s="174"/>
      <c r="G16" s="175"/>
      <c r="H16" s="96">
        <v>1.5</v>
      </c>
      <c r="I16" s="10" t="s">
        <v>136</v>
      </c>
      <c r="J16" s="182" t="s">
        <v>379</v>
      </c>
      <c r="K16" s="183"/>
    </row>
    <row r="17" spans="1:11" ht="33" customHeight="1">
      <c r="A17" s="1"/>
      <c r="B17" s="8" t="s">
        <v>375</v>
      </c>
      <c r="C17" s="173" t="s">
        <v>380</v>
      </c>
      <c r="D17" s="174"/>
      <c r="E17" s="174"/>
      <c r="F17" s="174"/>
      <c r="G17" s="175"/>
      <c r="H17" s="96">
        <v>4</v>
      </c>
      <c r="I17" s="10" t="s">
        <v>136</v>
      </c>
      <c r="J17" s="182" t="s">
        <v>381</v>
      </c>
      <c r="K17" s="183"/>
    </row>
    <row r="18" spans="1:11" ht="39" customHeight="1">
      <c r="A18" s="1"/>
      <c r="B18" s="21" t="s">
        <v>375</v>
      </c>
      <c r="C18" s="173" t="s">
        <v>382</v>
      </c>
      <c r="D18" s="174"/>
      <c r="E18" s="174"/>
      <c r="F18" s="174"/>
      <c r="G18" s="175"/>
      <c r="H18" s="13">
        <f>33000/15</f>
        <v>2200</v>
      </c>
      <c r="I18" s="8" t="s">
        <v>118</v>
      </c>
      <c r="J18" s="285" t="s">
        <v>383</v>
      </c>
      <c r="K18" s="286"/>
    </row>
    <row r="19" spans="1:11" ht="40.5" customHeight="1">
      <c r="A19" s="1"/>
      <c r="B19" s="21" t="s">
        <v>375</v>
      </c>
      <c r="C19" s="173" t="s">
        <v>384</v>
      </c>
      <c r="D19" s="174"/>
      <c r="E19" s="174"/>
      <c r="F19" s="174"/>
      <c r="G19" s="175"/>
      <c r="H19" s="13">
        <f>69000/15</f>
        <v>4600</v>
      </c>
      <c r="I19" s="8" t="s">
        <v>118</v>
      </c>
      <c r="J19" s="285" t="s">
        <v>385</v>
      </c>
      <c r="K19" s="286"/>
    </row>
    <row r="20" spans="1:11">
      <c r="A20" s="1"/>
      <c r="B20" s="32"/>
      <c r="C20" s="112"/>
      <c r="D20" s="112"/>
      <c r="E20" s="112"/>
      <c r="F20" s="112"/>
      <c r="G20" s="112"/>
      <c r="H20" s="113"/>
      <c r="I20" s="33"/>
      <c r="J20" s="114"/>
      <c r="K20" s="114"/>
    </row>
    <row r="21" spans="1:11">
      <c r="A21" s="1"/>
      <c r="B21" s="32"/>
      <c r="C21" s="112"/>
      <c r="D21" s="112"/>
      <c r="E21" s="112"/>
      <c r="F21" s="112"/>
      <c r="G21" s="112"/>
      <c r="H21" s="113"/>
      <c r="I21" s="33"/>
      <c r="J21" s="114"/>
      <c r="K21" s="114"/>
    </row>
    <row r="22" spans="1:11" ht="18" customHeight="1">
      <c r="A22" s="1"/>
      <c r="B22" s="21" t="s">
        <v>367</v>
      </c>
      <c r="C22" s="173" t="s">
        <v>386</v>
      </c>
      <c r="D22" s="174"/>
      <c r="E22" s="174"/>
      <c r="F22" s="174"/>
      <c r="G22" s="175"/>
      <c r="H22" s="17">
        <v>22</v>
      </c>
      <c r="I22" s="8" t="s">
        <v>168</v>
      </c>
      <c r="J22" s="182" t="s">
        <v>387</v>
      </c>
      <c r="K22" s="183"/>
    </row>
    <row r="23" spans="1:11" ht="35.25" customHeight="1">
      <c r="A23" s="1"/>
      <c r="B23" s="8" t="s">
        <v>367</v>
      </c>
      <c r="C23" s="173" t="s">
        <v>388</v>
      </c>
      <c r="D23" s="174"/>
      <c r="E23" s="174"/>
      <c r="F23" s="174"/>
      <c r="G23" s="175"/>
      <c r="H23" s="17">
        <v>100</v>
      </c>
      <c r="I23" s="8" t="s">
        <v>144</v>
      </c>
      <c r="J23" s="182" t="s">
        <v>389</v>
      </c>
      <c r="K23" s="183"/>
    </row>
    <row r="24" spans="1:11" ht="18" customHeight="1">
      <c r="A24" s="1"/>
      <c r="B24" s="21" t="s">
        <v>367</v>
      </c>
      <c r="C24" s="173" t="s">
        <v>390</v>
      </c>
      <c r="D24" s="174"/>
      <c r="E24" s="174"/>
      <c r="F24" s="174"/>
      <c r="G24" s="175"/>
      <c r="H24" s="17">
        <v>2</v>
      </c>
      <c r="I24" s="8" t="s">
        <v>144</v>
      </c>
      <c r="J24" s="182" t="s">
        <v>391</v>
      </c>
      <c r="K24" s="183"/>
    </row>
    <row r="25" spans="1:11">
      <c r="A25" s="1"/>
      <c r="B25" s="21" t="s">
        <v>367</v>
      </c>
      <c r="C25" s="173" t="s">
        <v>392</v>
      </c>
      <c r="D25" s="174"/>
      <c r="E25" s="174"/>
      <c r="F25" s="174"/>
      <c r="G25" s="175"/>
      <c r="H25" s="17">
        <v>13</v>
      </c>
      <c r="I25" s="8" t="s">
        <v>168</v>
      </c>
      <c r="J25" s="182" t="s">
        <v>393</v>
      </c>
      <c r="K25" s="183"/>
    </row>
    <row r="26" spans="1:11">
      <c r="A26" s="1"/>
      <c r="B26" s="21" t="s">
        <v>367</v>
      </c>
      <c r="C26" s="173" t="s">
        <v>394</v>
      </c>
      <c r="D26" s="174"/>
      <c r="E26" s="174"/>
      <c r="F26" s="174"/>
      <c r="G26" s="175"/>
      <c r="H26" s="17">
        <v>22</v>
      </c>
      <c r="I26" s="8" t="s">
        <v>168</v>
      </c>
      <c r="J26" s="182" t="s">
        <v>393</v>
      </c>
      <c r="K26" s="183"/>
    </row>
    <row r="27" spans="1:11">
      <c r="A27" s="1"/>
      <c r="B27" s="21" t="s">
        <v>367</v>
      </c>
      <c r="C27" s="173" t="s">
        <v>395</v>
      </c>
      <c r="D27" s="174"/>
      <c r="E27" s="174"/>
      <c r="F27" s="174"/>
      <c r="G27" s="175"/>
      <c r="H27" s="9">
        <v>0.05</v>
      </c>
      <c r="I27" s="8" t="s">
        <v>396</v>
      </c>
      <c r="J27" s="182" t="s">
        <v>397</v>
      </c>
      <c r="K27" s="183"/>
    </row>
    <row r="28" spans="1:11">
      <c r="A28" s="1"/>
      <c r="B28" s="21" t="s">
        <v>367</v>
      </c>
      <c r="C28" s="267" t="s">
        <v>398</v>
      </c>
      <c r="D28" s="267"/>
      <c r="E28" s="267"/>
      <c r="F28" s="267"/>
      <c r="G28" s="267"/>
      <c r="H28" s="17" t="s">
        <v>399</v>
      </c>
      <c r="I28" s="8" t="s">
        <v>118</v>
      </c>
      <c r="J28" s="182" t="s">
        <v>400</v>
      </c>
      <c r="K28" s="183"/>
    </row>
    <row r="29" spans="1:11">
      <c r="A29" s="1"/>
      <c r="B29" s="21" t="s">
        <v>367</v>
      </c>
      <c r="C29" s="267" t="s">
        <v>401</v>
      </c>
      <c r="D29" s="267"/>
      <c r="E29" s="267"/>
      <c r="F29" s="267"/>
      <c r="G29" s="267"/>
      <c r="H29" s="17">
        <v>45</v>
      </c>
      <c r="I29" s="8" t="s">
        <v>118</v>
      </c>
      <c r="J29" s="182" t="s">
        <v>402</v>
      </c>
      <c r="K29" s="183"/>
    </row>
    <row r="30" spans="1:11">
      <c r="A30" s="1"/>
      <c r="B30" s="21" t="s">
        <v>367</v>
      </c>
      <c r="C30" s="284" t="s">
        <v>403</v>
      </c>
      <c r="D30" s="284"/>
      <c r="E30" s="284"/>
      <c r="F30" s="284"/>
      <c r="G30" s="284"/>
      <c r="H30" s="17">
        <v>47</v>
      </c>
      <c r="I30" s="8" t="s">
        <v>404</v>
      </c>
      <c r="J30" s="178" t="s">
        <v>405</v>
      </c>
      <c r="K30" s="178"/>
    </row>
    <row r="31" spans="1:11">
      <c r="A31" s="1"/>
      <c r="B31" s="32"/>
      <c r="C31" s="112"/>
      <c r="D31" s="112"/>
      <c r="E31" s="112"/>
      <c r="F31" s="112"/>
      <c r="G31" s="112"/>
      <c r="H31" s="113"/>
      <c r="I31" s="33"/>
      <c r="J31" s="114"/>
      <c r="K31" s="114"/>
    </row>
    <row r="32" spans="1:11">
      <c r="A32" s="1"/>
      <c r="B32" s="21" t="s">
        <v>59</v>
      </c>
      <c r="C32" s="266" t="s">
        <v>406</v>
      </c>
      <c r="D32" s="267"/>
      <c r="E32" s="267"/>
      <c r="F32" s="267"/>
      <c r="G32" s="268"/>
      <c r="H32" s="25">
        <v>0.2</v>
      </c>
      <c r="I32" s="8" t="s">
        <v>238</v>
      </c>
      <c r="J32" s="182" t="s">
        <v>407</v>
      </c>
      <c r="K32" s="183"/>
    </row>
    <row r="33" spans="1:11">
      <c r="A33" s="1"/>
      <c r="B33" s="21" t="s">
        <v>59</v>
      </c>
      <c r="C33" s="266" t="s">
        <v>408</v>
      </c>
      <c r="D33" s="267"/>
      <c r="E33" s="267"/>
      <c r="F33" s="267"/>
      <c r="G33" s="268"/>
      <c r="H33" s="115">
        <v>6</v>
      </c>
      <c r="I33" s="8" t="s">
        <v>168</v>
      </c>
      <c r="J33" s="269" t="s">
        <v>409</v>
      </c>
      <c r="K33" s="270"/>
    </row>
    <row r="34" spans="1:11" ht="32.25" customHeight="1">
      <c r="A34" s="1"/>
      <c r="B34" s="21" t="s">
        <v>59</v>
      </c>
      <c r="C34" s="173" t="s">
        <v>410</v>
      </c>
      <c r="D34" s="174"/>
      <c r="E34" s="174"/>
      <c r="F34" s="174"/>
      <c r="G34" s="175"/>
      <c r="H34" s="111">
        <v>2</v>
      </c>
      <c r="I34" s="8" t="s">
        <v>136</v>
      </c>
      <c r="J34" s="157" t="s">
        <v>411</v>
      </c>
      <c r="K34" s="158"/>
    </row>
    <row r="35" spans="1:11" ht="32.25" customHeight="1">
      <c r="A35" s="1"/>
      <c r="B35" s="21" t="s">
        <v>59</v>
      </c>
      <c r="C35" s="173" t="s">
        <v>412</v>
      </c>
      <c r="D35" s="174"/>
      <c r="E35" s="174"/>
      <c r="F35" s="174"/>
      <c r="G35" s="175"/>
      <c r="H35" s="115">
        <v>1.4</v>
      </c>
      <c r="I35" s="8" t="s">
        <v>136</v>
      </c>
      <c r="J35" s="157" t="s">
        <v>411</v>
      </c>
      <c r="K35" s="158"/>
    </row>
    <row r="36" spans="1:11" ht="32.25" customHeight="1">
      <c r="A36" s="1"/>
      <c r="B36" s="21" t="s">
        <v>59</v>
      </c>
      <c r="C36" s="173" t="s">
        <v>413</v>
      </c>
      <c r="D36" s="174"/>
      <c r="E36" s="174"/>
      <c r="F36" s="174"/>
      <c r="G36" s="175"/>
      <c r="H36" s="111">
        <v>2</v>
      </c>
      <c r="I36" s="8" t="s">
        <v>136</v>
      </c>
      <c r="J36" s="157" t="s">
        <v>411</v>
      </c>
      <c r="K36" s="158"/>
    </row>
    <row r="37" spans="1:11" ht="32.25" customHeight="1">
      <c r="A37" s="1"/>
      <c r="B37" s="21" t="s">
        <v>59</v>
      </c>
      <c r="C37" s="173" t="s">
        <v>414</v>
      </c>
      <c r="D37" s="174"/>
      <c r="E37" s="174"/>
      <c r="F37" s="174"/>
      <c r="G37" s="175"/>
      <c r="H37" s="111">
        <v>50</v>
      </c>
      <c r="I37" s="8" t="s">
        <v>144</v>
      </c>
      <c r="J37" s="157" t="s">
        <v>411</v>
      </c>
      <c r="K37" s="158"/>
    </row>
    <row r="38" spans="1:11" ht="32.25" customHeight="1">
      <c r="A38" s="1"/>
      <c r="B38" s="21" t="s">
        <v>59</v>
      </c>
      <c r="C38" s="173" t="s">
        <v>415</v>
      </c>
      <c r="D38" s="174"/>
      <c r="E38" s="174"/>
      <c r="F38" s="174"/>
      <c r="G38" s="175"/>
      <c r="H38" s="111">
        <v>3</v>
      </c>
      <c r="I38" s="8" t="s">
        <v>168</v>
      </c>
      <c r="J38" s="182" t="s">
        <v>416</v>
      </c>
      <c r="K38" s="183"/>
    </row>
    <row r="39" spans="1:11">
      <c r="A39" s="1"/>
      <c r="B39" s="21" t="s">
        <v>59</v>
      </c>
      <c r="C39" s="173" t="s">
        <v>417</v>
      </c>
      <c r="D39" s="174"/>
      <c r="E39" s="174"/>
      <c r="F39" s="174"/>
      <c r="G39" s="175"/>
      <c r="H39" s="111">
        <v>2200</v>
      </c>
      <c r="I39" s="8" t="s">
        <v>118</v>
      </c>
      <c r="J39" s="182" t="s">
        <v>418</v>
      </c>
      <c r="K39" s="183"/>
    </row>
    <row r="40" spans="1:11">
      <c r="A40" s="1"/>
    </row>
    <row r="41" spans="1:11" ht="32.25" customHeight="1">
      <c r="A41" s="1"/>
      <c r="B41" s="8" t="s">
        <v>419</v>
      </c>
      <c r="C41" s="173" t="s">
        <v>420</v>
      </c>
      <c r="D41" s="174"/>
      <c r="E41" s="174"/>
      <c r="F41" s="174"/>
      <c r="G41" s="175"/>
      <c r="H41" s="115">
        <v>1.37</v>
      </c>
      <c r="I41" s="8" t="s">
        <v>144</v>
      </c>
      <c r="J41" s="182" t="s">
        <v>421</v>
      </c>
      <c r="K41" s="183"/>
    </row>
    <row r="42" spans="1:11">
      <c r="A42" s="1"/>
    </row>
    <row r="43" spans="1:11">
      <c r="A43" s="1"/>
    </row>
    <row r="44" spans="1:11" s="70" customFormat="1">
      <c r="B44" s="71" t="s">
        <v>100</v>
      </c>
      <c r="C44" s="72"/>
      <c r="D44" s="72"/>
      <c r="E44" s="72"/>
      <c r="F44" s="72"/>
    </row>
    <row r="45" spans="1:11">
      <c r="A45" s="1"/>
    </row>
    <row r="46" spans="1:11" ht="36.75" customHeight="1">
      <c r="A46" s="1"/>
      <c r="B46" s="73" t="s">
        <v>374</v>
      </c>
      <c r="C46" s="151" t="s">
        <v>79</v>
      </c>
      <c r="D46" s="151"/>
      <c r="E46" s="151"/>
      <c r="F46" s="151"/>
      <c r="G46" s="151"/>
      <c r="H46" s="74" t="s">
        <v>80</v>
      </c>
      <c r="I46" s="74" t="s">
        <v>81</v>
      </c>
      <c r="J46" s="159" t="s">
        <v>101</v>
      </c>
      <c r="K46" s="159"/>
    </row>
    <row r="47" spans="1:11" ht="78" customHeight="1">
      <c r="A47" s="1"/>
      <c r="B47" s="8" t="s">
        <v>367</v>
      </c>
      <c r="C47" s="273" t="s">
        <v>422</v>
      </c>
      <c r="D47" s="176"/>
      <c r="E47" s="176"/>
      <c r="F47" s="176"/>
      <c r="G47" s="176"/>
      <c r="H47" s="104">
        <v>2.5000000000000001E-2</v>
      </c>
      <c r="I47" s="44" t="s">
        <v>238</v>
      </c>
      <c r="J47" s="206" t="s">
        <v>423</v>
      </c>
      <c r="K47" s="207"/>
    </row>
    <row r="48" spans="1:11" ht="31.5" customHeight="1">
      <c r="A48" s="1"/>
      <c r="B48" s="282" t="s">
        <v>367</v>
      </c>
      <c r="C48" s="273" t="s">
        <v>424</v>
      </c>
      <c r="D48" s="273"/>
      <c r="E48" s="273"/>
      <c r="F48" s="273"/>
      <c r="G48" s="105" t="s">
        <v>425</v>
      </c>
      <c r="H48" s="104">
        <v>0.05</v>
      </c>
      <c r="I48" s="44" t="s">
        <v>238</v>
      </c>
      <c r="J48" s="208" t="s">
        <v>426</v>
      </c>
      <c r="K48" s="209"/>
    </row>
    <row r="49" spans="1:12" ht="31.5" customHeight="1">
      <c r="A49" s="1"/>
      <c r="B49" s="282"/>
      <c r="C49" s="273"/>
      <c r="D49" s="273"/>
      <c r="E49" s="273"/>
      <c r="F49" s="273"/>
      <c r="G49" s="105" t="s">
        <v>427</v>
      </c>
      <c r="H49" s="104">
        <v>6.0000000000000001E-3</v>
      </c>
      <c r="I49" s="44" t="s">
        <v>238</v>
      </c>
      <c r="J49" s="212"/>
      <c r="K49" s="213"/>
    </row>
    <row r="50" spans="1:12" ht="31.5" customHeight="1">
      <c r="A50" s="1"/>
      <c r="B50" s="106" t="s">
        <v>367</v>
      </c>
      <c r="C50" s="173" t="s">
        <v>428</v>
      </c>
      <c r="D50" s="174"/>
      <c r="E50" s="174"/>
      <c r="F50" s="174"/>
      <c r="G50" s="175"/>
      <c r="H50" s="104">
        <v>0.3</v>
      </c>
      <c r="I50" s="44" t="s">
        <v>238</v>
      </c>
      <c r="J50" s="280"/>
      <c r="K50" s="281"/>
    </row>
    <row r="51" spans="1:12" ht="31.5" customHeight="1">
      <c r="A51" s="1"/>
      <c r="B51" s="106" t="s">
        <v>367</v>
      </c>
      <c r="C51" s="173" t="s">
        <v>429</v>
      </c>
      <c r="D51" s="174"/>
      <c r="E51" s="174"/>
      <c r="F51" s="174"/>
      <c r="G51" s="175"/>
      <c r="H51" s="23">
        <v>500</v>
      </c>
      <c r="I51" s="44" t="s">
        <v>430</v>
      </c>
      <c r="J51" s="280"/>
      <c r="K51" s="281"/>
    </row>
    <row r="52" spans="1:12" ht="144" customHeight="1">
      <c r="A52" s="1"/>
      <c r="B52" s="106" t="s">
        <v>367</v>
      </c>
      <c r="C52" s="173" t="s">
        <v>431</v>
      </c>
      <c r="D52" s="174"/>
      <c r="E52" s="174"/>
      <c r="F52" s="174"/>
      <c r="G52" s="175"/>
      <c r="H52" s="111" t="s">
        <v>432</v>
      </c>
      <c r="I52" s="128" t="s">
        <v>433</v>
      </c>
      <c r="J52" s="278" t="s">
        <v>434</v>
      </c>
      <c r="K52" s="279"/>
      <c r="L52" s="11"/>
    </row>
    <row r="53" spans="1:12" ht="13.5" customHeight="1">
      <c r="A53" s="1"/>
      <c r="B53" s="107"/>
      <c r="C53" s="76"/>
      <c r="D53" s="76"/>
      <c r="E53" s="76"/>
      <c r="F53" s="76"/>
      <c r="G53" s="76"/>
      <c r="H53" s="108"/>
      <c r="I53" s="109"/>
      <c r="J53" s="90"/>
      <c r="K53" s="90"/>
    </row>
    <row r="54" spans="1:12">
      <c r="A54" s="1"/>
      <c r="B54" s="21" t="s">
        <v>375</v>
      </c>
      <c r="C54" s="273" t="s">
        <v>435</v>
      </c>
      <c r="D54" s="273"/>
      <c r="E54" s="273"/>
      <c r="F54" s="273"/>
      <c r="G54" s="105" t="s">
        <v>425</v>
      </c>
      <c r="H54" s="110">
        <v>0.06</v>
      </c>
      <c r="I54" s="44" t="s">
        <v>238</v>
      </c>
      <c r="J54" s="274" t="s">
        <v>436</v>
      </c>
      <c r="K54" s="275"/>
    </row>
    <row r="55" spans="1:12">
      <c r="A55" s="1"/>
      <c r="B55" s="21" t="s">
        <v>375</v>
      </c>
      <c r="C55" s="273"/>
      <c r="D55" s="273"/>
      <c r="E55" s="273"/>
      <c r="F55" s="273"/>
      <c r="G55" s="105" t="s">
        <v>427</v>
      </c>
      <c r="H55" s="110">
        <v>0.03</v>
      </c>
      <c r="I55" s="44" t="s">
        <v>238</v>
      </c>
      <c r="J55" s="276"/>
      <c r="K55" s="277"/>
    </row>
    <row r="56" spans="1:12">
      <c r="A56" s="1"/>
    </row>
    <row r="57" spans="1:12" ht="32.25" customHeight="1">
      <c r="A57" s="1"/>
      <c r="B57" s="8" t="s">
        <v>419</v>
      </c>
      <c r="C57" s="173" t="s">
        <v>437</v>
      </c>
      <c r="D57" s="174"/>
      <c r="E57" s="174"/>
      <c r="F57" s="174"/>
      <c r="G57" s="175"/>
      <c r="H57" s="111">
        <f>2+18</f>
        <v>20</v>
      </c>
      <c r="I57" s="8" t="s">
        <v>105</v>
      </c>
      <c r="J57" s="282" t="s">
        <v>438</v>
      </c>
      <c r="K57" s="282"/>
    </row>
    <row r="58" spans="1:12">
      <c r="A58" s="1"/>
    </row>
    <row r="59" spans="1:12" s="70" customFormat="1">
      <c r="B59" s="71" t="s">
        <v>116</v>
      </c>
      <c r="C59" s="72"/>
      <c r="D59" s="72"/>
      <c r="E59" s="72"/>
      <c r="F59" s="72"/>
    </row>
    <row r="62" spans="1:12" ht="30.75" customHeight="1">
      <c r="A62" s="1"/>
      <c r="B62" s="73" t="s">
        <v>374</v>
      </c>
      <c r="C62" s="151" t="s">
        <v>79</v>
      </c>
      <c r="D62" s="151"/>
      <c r="E62" s="151"/>
      <c r="F62" s="151"/>
      <c r="G62" s="151"/>
      <c r="H62" s="74" t="s">
        <v>80</v>
      </c>
      <c r="I62" s="74" t="s">
        <v>81</v>
      </c>
      <c r="J62" s="159" t="s">
        <v>101</v>
      </c>
      <c r="K62" s="159"/>
    </row>
    <row r="63" spans="1:12" ht="85.5" customHeight="1">
      <c r="A63" s="1"/>
      <c r="B63" s="8" t="s">
        <v>367</v>
      </c>
      <c r="C63" s="174" t="s">
        <v>439</v>
      </c>
      <c r="D63" s="174"/>
      <c r="E63" s="174"/>
      <c r="F63" s="174"/>
      <c r="G63" s="174"/>
      <c r="H63" s="17">
        <f>H47*H25*1000</f>
        <v>325</v>
      </c>
      <c r="I63" s="8" t="s">
        <v>118</v>
      </c>
      <c r="J63" s="271" t="s">
        <v>440</v>
      </c>
      <c r="K63" s="272"/>
    </row>
    <row r="64" spans="1:12" ht="26.25" customHeight="1">
      <c r="A64" s="1"/>
      <c r="B64" s="8" t="s">
        <v>367</v>
      </c>
      <c r="C64" s="152" t="s">
        <v>441</v>
      </c>
      <c r="D64" s="152"/>
      <c r="E64" s="152"/>
      <c r="F64" s="152"/>
      <c r="G64" s="103" t="s">
        <v>425</v>
      </c>
      <c r="H64" s="17">
        <f>H48*H25*1000</f>
        <v>650</v>
      </c>
      <c r="I64" s="8" t="s">
        <v>118</v>
      </c>
      <c r="J64" s="271" t="s">
        <v>440</v>
      </c>
      <c r="K64" s="272"/>
    </row>
    <row r="65" spans="1:11" ht="26.25" customHeight="1">
      <c r="A65" s="1"/>
      <c r="B65" s="8" t="s">
        <v>367</v>
      </c>
      <c r="C65" s="152"/>
      <c r="D65" s="152"/>
      <c r="E65" s="152"/>
      <c r="F65" s="152"/>
      <c r="G65" s="103" t="s">
        <v>427</v>
      </c>
      <c r="H65" s="17">
        <f>H49*H25*1000</f>
        <v>78</v>
      </c>
      <c r="I65" s="8" t="s">
        <v>118</v>
      </c>
      <c r="J65" s="271"/>
      <c r="K65" s="272"/>
    </row>
    <row r="66" spans="1:11">
      <c r="B66" s="8" t="s">
        <v>367</v>
      </c>
      <c r="C66" s="152" t="s">
        <v>442</v>
      </c>
      <c r="D66" s="152"/>
      <c r="E66" s="152"/>
      <c r="F66" s="152"/>
      <c r="G66" s="103" t="s">
        <v>425</v>
      </c>
      <c r="H66" s="17">
        <f>H48*H26*1000</f>
        <v>1100</v>
      </c>
      <c r="I66" s="8" t="s">
        <v>118</v>
      </c>
      <c r="J66" s="271"/>
      <c r="K66" s="272"/>
    </row>
    <row r="67" spans="1:11">
      <c r="B67" s="8" t="s">
        <v>367</v>
      </c>
      <c r="C67" s="152"/>
      <c r="D67" s="152"/>
      <c r="E67" s="152"/>
      <c r="F67" s="152"/>
      <c r="G67" s="103" t="s">
        <v>427</v>
      </c>
      <c r="H67" s="17">
        <f>H49*H26*1000</f>
        <v>132</v>
      </c>
      <c r="I67" s="8" t="s">
        <v>118</v>
      </c>
      <c r="J67" s="271"/>
      <c r="K67" s="272"/>
    </row>
    <row r="68" spans="1:11" ht="51" customHeight="1">
      <c r="B68" s="8" t="s">
        <v>367</v>
      </c>
      <c r="C68" s="164" t="s">
        <v>443</v>
      </c>
      <c r="D68" s="217"/>
      <c r="E68" s="217"/>
      <c r="F68" s="217"/>
      <c r="G68" s="195"/>
      <c r="H68" s="26">
        <f>H50*H25</f>
        <v>3.9</v>
      </c>
      <c r="I68" s="8" t="s">
        <v>168</v>
      </c>
      <c r="J68" s="271"/>
      <c r="K68" s="272"/>
    </row>
    <row r="69" spans="1:11" ht="54" customHeight="1">
      <c r="B69" s="8" t="s">
        <v>367</v>
      </c>
      <c r="C69" s="164" t="s">
        <v>444</v>
      </c>
      <c r="D69" s="217"/>
      <c r="E69" s="217"/>
      <c r="F69" s="217"/>
      <c r="G69" s="195"/>
      <c r="H69" s="26">
        <f>H26*H50</f>
        <v>6.6</v>
      </c>
      <c r="I69" s="8" t="s">
        <v>168</v>
      </c>
      <c r="J69" s="271"/>
      <c r="K69" s="272"/>
    </row>
    <row r="70" spans="1:11" ht="31.5" customHeight="1">
      <c r="A70" s="1"/>
      <c r="B70" s="106" t="s">
        <v>367</v>
      </c>
      <c r="C70" s="173" t="s">
        <v>445</v>
      </c>
      <c r="D70" s="174"/>
      <c r="E70" s="174"/>
      <c r="F70" s="174"/>
      <c r="G70" s="175"/>
      <c r="H70" s="26">
        <f>H51*18/1000</f>
        <v>9</v>
      </c>
      <c r="I70" s="44" t="s">
        <v>118</v>
      </c>
      <c r="J70" s="258" t="s">
        <v>440</v>
      </c>
      <c r="K70" s="259"/>
    </row>
    <row r="71" spans="1:11" ht="31.5" customHeight="1">
      <c r="A71" s="1"/>
      <c r="B71" s="106" t="s">
        <v>367</v>
      </c>
      <c r="C71" s="173" t="s">
        <v>446</v>
      </c>
      <c r="D71" s="174"/>
      <c r="E71" s="174"/>
      <c r="F71" s="174"/>
      <c r="G71" s="175"/>
      <c r="H71" s="26">
        <v>6</v>
      </c>
      <c r="I71" s="44" t="s">
        <v>118</v>
      </c>
      <c r="J71" s="278" t="s">
        <v>447</v>
      </c>
      <c r="K71" s="279"/>
    </row>
    <row r="72" spans="1:11" ht="40.5" customHeight="1">
      <c r="A72" s="1"/>
      <c r="B72" s="106" t="s">
        <v>367</v>
      </c>
      <c r="C72" s="173" t="s">
        <v>448</v>
      </c>
      <c r="D72" s="174"/>
      <c r="E72" s="174"/>
      <c r="F72" s="174"/>
      <c r="G72" s="175"/>
      <c r="H72" s="26">
        <v>15</v>
      </c>
      <c r="I72" s="44" t="s">
        <v>118</v>
      </c>
      <c r="J72" s="258" t="s">
        <v>449</v>
      </c>
      <c r="K72" s="259"/>
    </row>
    <row r="74" spans="1:11" ht="26.25" customHeight="1">
      <c r="A74" s="1"/>
      <c r="B74" s="8" t="s">
        <v>375</v>
      </c>
      <c r="C74" s="152" t="s">
        <v>450</v>
      </c>
      <c r="D74" s="152"/>
      <c r="E74" s="152"/>
      <c r="F74" s="152"/>
      <c r="G74" s="103" t="s">
        <v>425</v>
      </c>
      <c r="H74" s="17">
        <f>H54*H18</f>
        <v>132</v>
      </c>
      <c r="I74" s="8" t="s">
        <v>118</v>
      </c>
      <c r="J74" s="260" t="s">
        <v>451</v>
      </c>
      <c r="K74" s="261"/>
    </row>
    <row r="75" spans="1:11" ht="26.25" customHeight="1">
      <c r="A75" s="1"/>
      <c r="B75" s="8" t="s">
        <v>375</v>
      </c>
      <c r="C75" s="152"/>
      <c r="D75" s="152"/>
      <c r="E75" s="152"/>
      <c r="F75" s="152"/>
      <c r="G75" s="103" t="s">
        <v>427</v>
      </c>
      <c r="H75" s="17">
        <f>H55*H18</f>
        <v>66</v>
      </c>
      <c r="I75" s="8" t="s">
        <v>118</v>
      </c>
      <c r="J75" s="262"/>
      <c r="K75" s="263"/>
    </row>
    <row r="76" spans="1:11" ht="26.25" customHeight="1">
      <c r="A76" s="1"/>
      <c r="B76" s="8" t="s">
        <v>375</v>
      </c>
      <c r="C76" s="152" t="s">
        <v>452</v>
      </c>
      <c r="D76" s="152"/>
      <c r="E76" s="152"/>
      <c r="F76" s="152"/>
      <c r="G76" s="103" t="s">
        <v>425</v>
      </c>
      <c r="H76" s="17">
        <f>H54*H19</f>
        <v>276</v>
      </c>
      <c r="I76" s="8" t="s">
        <v>118</v>
      </c>
      <c r="J76" s="262"/>
      <c r="K76" s="263"/>
    </row>
    <row r="77" spans="1:11" ht="26.25" customHeight="1">
      <c r="A77" s="1"/>
      <c r="B77" s="8" t="s">
        <v>375</v>
      </c>
      <c r="C77" s="152"/>
      <c r="D77" s="152"/>
      <c r="E77" s="152"/>
      <c r="F77" s="152"/>
      <c r="G77" s="103" t="s">
        <v>427</v>
      </c>
      <c r="H77" s="17">
        <f>H55*H19</f>
        <v>138</v>
      </c>
      <c r="I77" s="8" t="s">
        <v>118</v>
      </c>
      <c r="J77" s="264"/>
      <c r="K77" s="265"/>
    </row>
    <row r="79" spans="1:11" ht="38.25" customHeight="1">
      <c r="B79" s="8" t="s">
        <v>419</v>
      </c>
      <c r="C79" s="173" t="s">
        <v>453</v>
      </c>
      <c r="D79" s="174"/>
      <c r="E79" s="174"/>
      <c r="F79" s="174"/>
      <c r="G79" s="175"/>
      <c r="H79" s="115">
        <f>H57*Hyp_communes!D7/1000000</f>
        <v>1.2</v>
      </c>
      <c r="I79" s="8" t="s">
        <v>118</v>
      </c>
      <c r="J79" s="258" t="s">
        <v>440</v>
      </c>
      <c r="K79" s="259"/>
    </row>
    <row r="80" spans="1:11" ht="39.75" customHeight="1">
      <c r="B80" s="8" t="s">
        <v>419</v>
      </c>
      <c r="C80" s="173" t="s">
        <v>454</v>
      </c>
      <c r="D80" s="174"/>
      <c r="E80" s="174"/>
      <c r="F80" s="174"/>
      <c r="G80" s="175"/>
      <c r="H80" s="115">
        <v>0.5</v>
      </c>
      <c r="I80" s="8" t="s">
        <v>118</v>
      </c>
      <c r="J80" s="258" t="s">
        <v>449</v>
      </c>
      <c r="K80" s="259"/>
    </row>
  </sheetData>
  <mergeCells count="112">
    <mergeCell ref="C18:G18"/>
    <mergeCell ref="J18:K18"/>
    <mergeCell ref="L9:M9"/>
    <mergeCell ref="C14:G14"/>
    <mergeCell ref="J14:K14"/>
    <mergeCell ref="A1:B1"/>
    <mergeCell ref="B6:D6"/>
    <mergeCell ref="E6:G6"/>
    <mergeCell ref="H6:J6"/>
    <mergeCell ref="K6:M6"/>
    <mergeCell ref="C8:D8"/>
    <mergeCell ref="F7:G7"/>
    <mergeCell ref="L7:M7"/>
    <mergeCell ref="H7:J7"/>
    <mergeCell ref="B7:D7"/>
    <mergeCell ref="F8:G8"/>
    <mergeCell ref="J50:K50"/>
    <mergeCell ref="C41:G41"/>
    <mergeCell ref="C47:G47"/>
    <mergeCell ref="J47:K47"/>
    <mergeCell ref="C26:G26"/>
    <mergeCell ref="J26:K26"/>
    <mergeCell ref="C27:G27"/>
    <mergeCell ref="J27:K27"/>
    <mergeCell ref="C9:D9"/>
    <mergeCell ref="F9:G9"/>
    <mergeCell ref="I9:J9"/>
    <mergeCell ref="I10:J10"/>
    <mergeCell ref="C10:D10"/>
    <mergeCell ref="C23:G23"/>
    <mergeCell ref="J23:K23"/>
    <mergeCell ref="C34:G34"/>
    <mergeCell ref="J34:K34"/>
    <mergeCell ref="C29:G29"/>
    <mergeCell ref="J29:K29"/>
    <mergeCell ref="C30:G30"/>
    <mergeCell ref="J30:K30"/>
    <mergeCell ref="C19:G19"/>
    <mergeCell ref="J19:K19"/>
    <mergeCell ref="C22:G22"/>
    <mergeCell ref="J66:K66"/>
    <mergeCell ref="J67:K67"/>
    <mergeCell ref="B48:B49"/>
    <mergeCell ref="J64:K64"/>
    <mergeCell ref="J65:K65"/>
    <mergeCell ref="C64:F65"/>
    <mergeCell ref="L8:M8"/>
    <mergeCell ref="C25:G25"/>
    <mergeCell ref="J25:K25"/>
    <mergeCell ref="C28:G28"/>
    <mergeCell ref="J28:K28"/>
    <mergeCell ref="C15:G15"/>
    <mergeCell ref="J15:K15"/>
    <mergeCell ref="C16:G16"/>
    <mergeCell ref="F10:G10"/>
    <mergeCell ref="I8:J8"/>
    <mergeCell ref="C39:G39"/>
    <mergeCell ref="J39:K39"/>
    <mergeCell ref="C62:G62"/>
    <mergeCell ref="J62:K62"/>
    <mergeCell ref="C63:G63"/>
    <mergeCell ref="J63:K63"/>
    <mergeCell ref="J36:K36"/>
    <mergeCell ref="C50:G50"/>
    <mergeCell ref="C46:G46"/>
    <mergeCell ref="J46:K46"/>
    <mergeCell ref="J16:K16"/>
    <mergeCell ref="C17:G17"/>
    <mergeCell ref="J17:K17"/>
    <mergeCell ref="C54:F55"/>
    <mergeCell ref="J54:K55"/>
    <mergeCell ref="C74:F75"/>
    <mergeCell ref="C37:G37"/>
    <mergeCell ref="C38:G38"/>
    <mergeCell ref="C70:G70"/>
    <mergeCell ref="J70:K70"/>
    <mergeCell ref="C71:G71"/>
    <mergeCell ref="J71:K71"/>
    <mergeCell ref="C72:G72"/>
    <mergeCell ref="J72:K72"/>
    <mergeCell ref="C69:G69"/>
    <mergeCell ref="C51:G51"/>
    <mergeCell ref="J51:K51"/>
    <mergeCell ref="C52:G52"/>
    <mergeCell ref="J52:K52"/>
    <mergeCell ref="C57:G57"/>
    <mergeCell ref="J57:K57"/>
    <mergeCell ref="C66:F67"/>
    <mergeCell ref="J35:K35"/>
    <mergeCell ref="J37:K37"/>
    <mergeCell ref="C79:G79"/>
    <mergeCell ref="J79:K79"/>
    <mergeCell ref="C80:G80"/>
    <mergeCell ref="J80:K80"/>
    <mergeCell ref="J22:K22"/>
    <mergeCell ref="C24:G24"/>
    <mergeCell ref="J24:K24"/>
    <mergeCell ref="C76:F77"/>
    <mergeCell ref="J74:K77"/>
    <mergeCell ref="C32:G32"/>
    <mergeCell ref="J32:K32"/>
    <mergeCell ref="C33:G33"/>
    <mergeCell ref="J33:K33"/>
    <mergeCell ref="C35:G35"/>
    <mergeCell ref="C36:G36"/>
    <mergeCell ref="J68:K68"/>
    <mergeCell ref="J69:K69"/>
    <mergeCell ref="C68:G68"/>
    <mergeCell ref="J41:K41"/>
    <mergeCell ref="C48:F49"/>
    <mergeCell ref="J48:K49"/>
    <mergeCell ref="J38:K38"/>
  </mergeCells>
  <hyperlinks>
    <hyperlink ref="A1" location="Sommaire!A1" display="Retour sommaire" xr:uid="{E45C1231-52E1-4024-98E0-14320BFE84C7}"/>
    <hyperlink ref="J18:K18" r:id="rId1" display="RTE, 2019, P46" xr:uid="{A503BFA8-FE17-427A-A931-6984133EE73A}"/>
    <hyperlink ref="J19:K19" r:id="rId2" location="Documents" display="RTE" xr:uid="{63D72122-75EA-46F3-A484-3148BA08CB44}"/>
    <hyperlink ref="J54:K55" r:id="rId3" display="Sur la base de Hallegatte et Al. 2019 " xr:uid="{B0174BA5-AB23-4848-A061-28611D03CB2E}"/>
    <hyperlink ref="J41:K41" r:id="rId4" display="Commission européenne" xr:uid="{BB356785-06CD-41D2-93B6-E6F9CA1192B7}"/>
    <hyperlink ref="J22:K22" r:id="rId5" display="Carbone 4, 2022,4" xr:uid="{C008796B-854D-4C32-9FA3-FD08D10DDD4D}"/>
    <hyperlink ref="J23:K23" r:id="rId6" display=" Carbone 4 2022, 28" xr:uid="{7BEC8956-B372-49A2-970A-C1552469F215}"/>
    <hyperlink ref="J27:K27" r:id="rId7" display="Carbone 4, 2022" xr:uid="{223859E5-2190-4432-9D54-4C473E05B6A0}"/>
    <hyperlink ref="J39:K39" r:id="rId8" display="Carbone 4 2022, 41" xr:uid="{FF9F3FF1-B8D1-462E-AB46-3AC1711C38C6}"/>
    <hyperlink ref="J24:K24" r:id="rId9" display="CGDD 2017, 11" xr:uid="{FAFBD94B-B195-47EB-A88B-2C18A9CD8548}"/>
    <hyperlink ref="J25:K26" r:id="rId10" display="COI 2022" xr:uid="{8D138224-B725-4289-94D9-F717A36E8293}"/>
    <hyperlink ref="J32:K32" r:id="rId11" display="OFB 2021" xr:uid="{CB72CB92-A8D1-4C3B-B95E-99C41C4DD513}"/>
    <hyperlink ref="J38:K38" r:id="rId12" location="page=1" display="FP2E 2022, 11" xr:uid="{CC6CB846-8C6F-4AB5-9644-195C0BDDDE70}"/>
    <hyperlink ref="J29:K29" r:id="rId13" display="Chaize et Dagbert 2019, 60" xr:uid="{54C569F1-B1C5-49BD-9432-0D96F0D1DE46}"/>
    <hyperlink ref="J28:K28" r:id="rId14" display="Séna 2019" xr:uid="{2FD3A46B-D28F-441B-94B5-1E17416E384E}"/>
    <hyperlink ref="J34:K34" r:id="rId15" display="Gouvernement, 2019" xr:uid="{054CB53D-D7D3-9D4D-8B25-0D8FD686EDED}"/>
    <hyperlink ref="J35:K35" r:id="rId16" display="Gouvernement, 2019" xr:uid="{A24699B0-9534-604C-97EE-D8F40AAAEC49}"/>
    <hyperlink ref="J36:K36" r:id="rId17" display="Gouvernement, 2019" xr:uid="{2298E0B4-89A6-3143-8AE1-40EA1386B123}"/>
    <hyperlink ref="J37:K37" r:id="rId18" display="Gouvernement, 2019" xr:uid="{585978C3-8FB4-AF48-8C61-3964A12F7C2D}"/>
    <hyperlink ref="J16:K16" r:id="rId19" display="RTE" xr:uid="{0868E75A-FBC7-0F40-8791-C5812248927C}"/>
    <hyperlink ref="J17:K17" r:id="rId20" display="Enedis" xr:uid="{45519432-7D37-114D-90DF-0289DC09C00A}"/>
    <hyperlink ref="J30:K30" r:id="rId21" display="White House 2021" xr:uid="{16A64C86-683F-A440-9A18-A03F9CF25EE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3C1AC-5B02-4455-A464-FA70A3F8E1ED}">
  <sheetPr codeName="Feuil20">
    <tabColor theme="3" tint="0.79998168889431442"/>
  </sheetPr>
  <dimension ref="A1:V37"/>
  <sheetViews>
    <sheetView showGridLines="0" workbookViewId="0">
      <pane ySplit="2" topLeftCell="A3" activePane="bottomLeft" state="frozen"/>
      <selection pane="bottomLeft" activeCell="H40" sqref="H40"/>
      <selection activeCell="G31" sqref="G31"/>
    </sheetView>
  </sheetViews>
  <sheetFormatPr defaultColWidth="11" defaultRowHeight="15.75"/>
  <cols>
    <col min="1" max="1" width="1.625" customWidth="1"/>
    <col min="2" max="2" width="20" customWidth="1"/>
    <col min="3" max="6" width="19.125" style="14" customWidth="1"/>
    <col min="7" max="13" width="19.125" customWidth="1"/>
  </cols>
  <sheetData>
    <row r="1" spans="1:22" ht="21.75" customHeight="1">
      <c r="A1" s="166" t="s">
        <v>78</v>
      </c>
      <c r="B1" s="166"/>
    </row>
    <row r="2" spans="1:22" s="66" customFormat="1" ht="25.5" customHeight="1">
      <c r="A2" s="4" t="s">
        <v>41</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62.25" customHeight="1">
      <c r="B7" s="164" t="s">
        <v>455</v>
      </c>
      <c r="C7" s="217"/>
      <c r="D7" s="195"/>
      <c r="E7" s="69">
        <f>H34</f>
        <v>15</v>
      </c>
      <c r="F7" s="200" t="s">
        <v>456</v>
      </c>
      <c r="G7" s="201"/>
      <c r="H7" s="200" t="s">
        <v>457</v>
      </c>
      <c r="I7" s="202"/>
      <c r="J7" s="201"/>
      <c r="K7" s="224" t="s">
        <v>458</v>
      </c>
      <c r="L7" s="292"/>
      <c r="M7" s="293"/>
    </row>
    <row r="8" spans="1:22" s="68" customFormat="1" ht="62.25" customHeight="1">
      <c r="B8" s="84"/>
      <c r="C8" s="31"/>
      <c r="D8" s="31"/>
      <c r="E8" s="69">
        <f>H37</f>
        <v>150</v>
      </c>
      <c r="F8" s="200" t="s">
        <v>459</v>
      </c>
      <c r="G8" s="20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c r="A13" s="1"/>
      <c r="C13" s="173" t="s">
        <v>460</v>
      </c>
      <c r="D13" s="174"/>
      <c r="E13" s="174"/>
      <c r="F13" s="174"/>
      <c r="G13" s="175"/>
      <c r="H13" s="23" t="s">
        <v>461</v>
      </c>
      <c r="I13" s="8" t="s">
        <v>136</v>
      </c>
      <c r="J13" s="157" t="s">
        <v>462</v>
      </c>
      <c r="K13" s="158"/>
    </row>
    <row r="14" spans="1:22" ht="15.75" customHeight="1">
      <c r="A14" s="1"/>
      <c r="C14" s="173" t="s">
        <v>463</v>
      </c>
      <c r="D14" s="174"/>
      <c r="E14" s="174"/>
      <c r="F14" s="174"/>
      <c r="G14" s="175"/>
      <c r="H14" s="23" t="s">
        <v>464</v>
      </c>
      <c r="I14" s="8" t="s">
        <v>144</v>
      </c>
      <c r="J14" s="157" t="s">
        <v>465</v>
      </c>
      <c r="K14" s="158"/>
    </row>
    <row r="15" spans="1:22">
      <c r="A15" s="1"/>
      <c r="C15" s="76"/>
      <c r="D15" s="76"/>
      <c r="E15" s="76"/>
      <c r="F15" s="76"/>
      <c r="G15" s="76"/>
      <c r="H15" s="77"/>
      <c r="I15" s="33"/>
      <c r="J15" s="95"/>
      <c r="K15" s="95"/>
    </row>
    <row r="16" spans="1:22">
      <c r="A16" s="1"/>
      <c r="C16" s="76"/>
      <c r="D16" s="76"/>
      <c r="E16" s="76"/>
      <c r="F16" s="76"/>
      <c r="G16" s="76"/>
      <c r="H16" s="77"/>
      <c r="I16" s="33"/>
      <c r="J16" s="78"/>
      <c r="K16" s="78"/>
    </row>
    <row r="17" spans="1:12">
      <c r="A17" s="1"/>
      <c r="C17" s="15"/>
      <c r="D17" s="15"/>
      <c r="E17" s="15"/>
      <c r="F17" s="15"/>
      <c r="G17" s="7"/>
      <c r="H17" s="7"/>
      <c r="I17" s="7"/>
      <c r="J17" s="7"/>
      <c r="K17" s="7"/>
    </row>
    <row r="18" spans="1:12">
      <c r="A18" s="1"/>
    </row>
    <row r="19" spans="1:12" s="70" customFormat="1">
      <c r="B19" s="71" t="s">
        <v>100</v>
      </c>
      <c r="C19" s="72"/>
      <c r="D19" s="72"/>
      <c r="E19" s="72"/>
      <c r="F19" s="72"/>
    </row>
    <row r="20" spans="1:12">
      <c r="A20" s="1"/>
    </row>
    <row r="21" spans="1:12" ht="21" customHeight="1">
      <c r="A21" s="1"/>
      <c r="B21" s="75"/>
      <c r="C21" s="151" t="s">
        <v>79</v>
      </c>
      <c r="D21" s="151"/>
      <c r="E21" s="151"/>
      <c r="F21" s="151"/>
      <c r="G21" s="151"/>
      <c r="H21" s="74" t="s">
        <v>80</v>
      </c>
      <c r="I21" s="74" t="s">
        <v>81</v>
      </c>
      <c r="J21" s="159" t="s">
        <v>101</v>
      </c>
      <c r="K21" s="159"/>
    </row>
    <row r="22" spans="1:12" ht="15.75" customHeight="1">
      <c r="A22" s="1"/>
      <c r="C22" s="252" t="s">
        <v>466</v>
      </c>
      <c r="D22" s="253"/>
      <c r="E22" s="253"/>
      <c r="F22" s="253"/>
      <c r="G22" s="254"/>
      <c r="H22" s="23">
        <v>250</v>
      </c>
      <c r="I22" s="43" t="s">
        <v>280</v>
      </c>
      <c r="J22" s="290" t="s">
        <v>467</v>
      </c>
      <c r="K22" s="291"/>
      <c r="L22" s="102"/>
    </row>
    <row r="23" spans="1:12" ht="211.5" customHeight="1">
      <c r="A23" s="1"/>
      <c r="C23" s="173" t="s">
        <v>468</v>
      </c>
      <c r="D23" s="174"/>
      <c r="E23" s="174"/>
      <c r="F23" s="174"/>
      <c r="G23" s="175"/>
      <c r="H23" s="12">
        <v>60</v>
      </c>
      <c r="I23" s="8" t="s">
        <v>469</v>
      </c>
      <c r="J23" s="289" t="s">
        <v>470</v>
      </c>
      <c r="K23" s="176"/>
    </row>
    <row r="24" spans="1:12" ht="34.5" customHeight="1">
      <c r="A24" s="1"/>
      <c r="C24" s="173" t="s">
        <v>471</v>
      </c>
      <c r="D24" s="174"/>
      <c r="E24" s="174"/>
      <c r="F24" s="174"/>
      <c r="G24" s="175"/>
      <c r="H24" s="27">
        <v>0.5</v>
      </c>
      <c r="I24" s="10" t="s">
        <v>472</v>
      </c>
      <c r="J24" s="153"/>
      <c r="K24" s="154"/>
    </row>
    <row r="25" spans="1:12" ht="60.75" customHeight="1">
      <c r="A25" s="1"/>
      <c r="C25" s="173" t="s">
        <v>473</v>
      </c>
      <c r="D25" s="174"/>
      <c r="E25" s="174"/>
      <c r="F25" s="174"/>
      <c r="G25" s="175"/>
      <c r="H25" s="27">
        <v>10</v>
      </c>
      <c r="I25" s="10" t="s">
        <v>474</v>
      </c>
      <c r="J25" s="206" t="s">
        <v>475</v>
      </c>
      <c r="K25" s="156"/>
    </row>
    <row r="26" spans="1:12" ht="34.5" customHeight="1">
      <c r="A26" s="1"/>
      <c r="C26" s="173" t="s">
        <v>476</v>
      </c>
      <c r="D26" s="174"/>
      <c r="E26" s="174"/>
      <c r="F26" s="174"/>
      <c r="G26" s="175"/>
      <c r="H26" s="27">
        <v>1</v>
      </c>
      <c r="I26" s="10" t="s">
        <v>472</v>
      </c>
      <c r="J26" s="206" t="s">
        <v>477</v>
      </c>
      <c r="K26" s="156"/>
    </row>
    <row r="27" spans="1:12" ht="42" customHeight="1">
      <c r="A27" s="1"/>
      <c r="C27" s="173" t="s">
        <v>478</v>
      </c>
      <c r="D27" s="174"/>
      <c r="E27" s="174"/>
      <c r="F27" s="174"/>
      <c r="G27" s="175"/>
      <c r="H27" s="12">
        <v>10</v>
      </c>
      <c r="I27" s="10" t="s">
        <v>93</v>
      </c>
      <c r="J27" s="206" t="s">
        <v>479</v>
      </c>
      <c r="K27" s="156"/>
    </row>
    <row r="28" spans="1:12" ht="69.75" customHeight="1">
      <c r="A28" s="1"/>
      <c r="C28" s="173" t="s">
        <v>480</v>
      </c>
      <c r="D28" s="174"/>
      <c r="E28" s="174"/>
      <c r="F28" s="174"/>
      <c r="G28" s="175"/>
      <c r="H28" s="12">
        <v>3</v>
      </c>
      <c r="I28" s="10" t="s">
        <v>481</v>
      </c>
      <c r="J28" s="206" t="s">
        <v>482</v>
      </c>
      <c r="K28" s="207"/>
    </row>
    <row r="29" spans="1:12">
      <c r="A29" s="1"/>
      <c r="C29" s="76"/>
      <c r="D29" s="76"/>
      <c r="E29" s="76"/>
      <c r="F29" s="76"/>
      <c r="G29" s="76"/>
      <c r="H29" s="101"/>
      <c r="I29" s="31"/>
      <c r="J29" s="91"/>
      <c r="K29" s="92"/>
    </row>
    <row r="30" spans="1:12" s="70" customFormat="1">
      <c r="B30" s="71" t="s">
        <v>116</v>
      </c>
      <c r="C30" s="72"/>
      <c r="D30" s="72"/>
      <c r="E30" s="72"/>
      <c r="F30" s="72"/>
    </row>
    <row r="33" spans="1:22" ht="21" customHeight="1">
      <c r="A33" s="1"/>
      <c r="B33" s="75"/>
      <c r="C33" s="151" t="s">
        <v>79</v>
      </c>
      <c r="D33" s="151"/>
      <c r="E33" s="151"/>
      <c r="F33" s="151"/>
      <c r="G33" s="151"/>
      <c r="H33" s="74" t="s">
        <v>80</v>
      </c>
      <c r="I33" s="74" t="s">
        <v>81</v>
      </c>
      <c r="J33" s="159" t="s">
        <v>101</v>
      </c>
      <c r="K33" s="159"/>
    </row>
    <row r="34" spans="1:22" ht="15.75" customHeight="1">
      <c r="B34" s="31"/>
      <c r="C34" s="173" t="s">
        <v>483</v>
      </c>
      <c r="D34" s="174"/>
      <c r="E34" s="174"/>
      <c r="F34" s="174"/>
      <c r="G34" s="175"/>
      <c r="H34" s="26">
        <f>H23*H22*1000/1000000</f>
        <v>15</v>
      </c>
      <c r="I34" s="17" t="s">
        <v>118</v>
      </c>
      <c r="J34" s="153"/>
      <c r="K34" s="154"/>
    </row>
    <row r="35" spans="1:22" ht="15.75" customHeight="1">
      <c r="B35" s="31"/>
      <c r="C35" s="173" t="s">
        <v>484</v>
      </c>
      <c r="D35" s="174"/>
      <c r="E35" s="174"/>
      <c r="F35" s="174"/>
      <c r="G35" s="175"/>
      <c r="H35" s="26">
        <f>H24*H22*Hyp_communes!D7/1000000</f>
        <v>7.5</v>
      </c>
      <c r="I35" s="17" t="s">
        <v>118</v>
      </c>
      <c r="J35" s="153"/>
      <c r="K35" s="154"/>
    </row>
    <row r="36" spans="1:22" ht="15.75" customHeight="1">
      <c r="B36" s="31"/>
      <c r="C36" s="173" t="s">
        <v>485</v>
      </c>
      <c r="D36" s="174"/>
      <c r="E36" s="174"/>
      <c r="F36" s="174"/>
      <c r="G36" s="175"/>
      <c r="H36" s="26">
        <f>H25*Hyp_communes!D7*H27/1000000</f>
        <v>6</v>
      </c>
      <c r="I36" s="8" t="s">
        <v>118</v>
      </c>
      <c r="J36" s="191"/>
      <c r="K36" s="191"/>
    </row>
    <row r="37" spans="1:22" s="14" customFormat="1">
      <c r="A37"/>
      <c r="B37"/>
      <c r="C37" s="173" t="s">
        <v>486</v>
      </c>
      <c r="D37" s="174"/>
      <c r="E37" s="174"/>
      <c r="F37" s="174"/>
      <c r="G37" s="175"/>
      <c r="H37" s="26">
        <f>H28*H22/5</f>
        <v>150</v>
      </c>
      <c r="I37" s="8" t="s">
        <v>118</v>
      </c>
      <c r="J37" s="153"/>
      <c r="K37" s="154"/>
      <c r="L37"/>
      <c r="M37"/>
      <c r="N37"/>
      <c r="O37"/>
      <c r="P37"/>
      <c r="Q37"/>
      <c r="R37"/>
      <c r="S37"/>
      <c r="T37"/>
      <c r="U37"/>
      <c r="V37"/>
    </row>
  </sheetData>
  <mergeCells count="42">
    <mergeCell ref="F7:G7"/>
    <mergeCell ref="B7:D7"/>
    <mergeCell ref="K7:M7"/>
    <mergeCell ref="H7:J7"/>
    <mergeCell ref="A1:B1"/>
    <mergeCell ref="B6:D6"/>
    <mergeCell ref="E6:G6"/>
    <mergeCell ref="H6:J6"/>
    <mergeCell ref="K6:M6"/>
    <mergeCell ref="J23:K23"/>
    <mergeCell ref="C22:G22"/>
    <mergeCell ref="F8:G8"/>
    <mergeCell ref="C12:G12"/>
    <mergeCell ref="J12:K12"/>
    <mergeCell ref="C13:G13"/>
    <mergeCell ref="J13:K13"/>
    <mergeCell ref="C14:G14"/>
    <mergeCell ref="J14:K14"/>
    <mergeCell ref="J22:K22"/>
    <mergeCell ref="C21:G21"/>
    <mergeCell ref="J21:K21"/>
    <mergeCell ref="C23:G23"/>
    <mergeCell ref="C37:G37"/>
    <mergeCell ref="J37:K37"/>
    <mergeCell ref="C36:G36"/>
    <mergeCell ref="J36:K36"/>
    <mergeCell ref="C27:G27"/>
    <mergeCell ref="J27:K27"/>
    <mergeCell ref="C28:G28"/>
    <mergeCell ref="J28:K28"/>
    <mergeCell ref="C33:G33"/>
    <mergeCell ref="J33:K33"/>
    <mergeCell ref="C34:G34"/>
    <mergeCell ref="J34:K34"/>
    <mergeCell ref="C35:G35"/>
    <mergeCell ref="J35:K35"/>
    <mergeCell ref="C24:G24"/>
    <mergeCell ref="J24:K24"/>
    <mergeCell ref="C25:G25"/>
    <mergeCell ref="J25:K25"/>
    <mergeCell ref="C26:G26"/>
    <mergeCell ref="J26:K26"/>
  </mergeCells>
  <hyperlinks>
    <hyperlink ref="A1" location="Sommaire!A1" display="Retour sommaire" xr:uid="{A95CBE65-C92E-4636-AF46-B26658889CD7}"/>
    <hyperlink ref="J13:K13" r:id="rId1" display="CEREMA 2019, 19" xr:uid="{FB00282D-5666-4DB2-A09E-148561300A87}"/>
    <hyperlink ref="J14:K14" r:id="rId2" display="GIP littoral, 2015" xr:uid="{AD8A6125-902E-4F11-A8DE-028B89D80E3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49B9E-B765-460D-8C42-556B5125B933}">
  <sheetPr codeName="Feuil10">
    <tabColor theme="3" tint="0.79998168889431442"/>
  </sheetPr>
  <dimension ref="A1:V40"/>
  <sheetViews>
    <sheetView showGridLines="0" workbookViewId="0">
      <pane ySplit="2" topLeftCell="A3" activePane="bottomLeft" state="frozen"/>
      <selection pane="bottomLeft" activeCell="F8" sqref="F8"/>
      <selection activeCell="G31" sqref="G31"/>
    </sheetView>
  </sheetViews>
  <sheetFormatPr defaultColWidth="11" defaultRowHeight="15.75"/>
  <cols>
    <col min="1" max="1" width="1.625" customWidth="1"/>
    <col min="2" max="2" width="20.625" customWidth="1"/>
    <col min="3" max="6" width="19.125" style="14" customWidth="1"/>
    <col min="7" max="13" width="19.125" customWidth="1"/>
  </cols>
  <sheetData>
    <row r="1" spans="1:22" ht="21.75" customHeight="1">
      <c r="A1" s="166" t="s">
        <v>78</v>
      </c>
      <c r="B1" s="166"/>
    </row>
    <row r="2" spans="1:22" s="66" customFormat="1" ht="25.5" customHeight="1">
      <c r="A2" s="4" t="s">
        <v>46</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85.5" customHeight="1">
      <c r="B7" s="69" t="s">
        <v>487</v>
      </c>
      <c r="C7" s="222" t="s">
        <v>488</v>
      </c>
      <c r="D7" s="223"/>
      <c r="E7" s="69">
        <f>H37</f>
        <v>24.6</v>
      </c>
      <c r="F7" s="164" t="s">
        <v>47</v>
      </c>
      <c r="G7" s="195"/>
      <c r="H7" s="200" t="s">
        <v>489</v>
      </c>
      <c r="I7" s="202"/>
      <c r="J7" s="201"/>
      <c r="K7" s="164" t="s">
        <v>490</v>
      </c>
      <c r="L7" s="294"/>
      <c r="M7" s="223"/>
    </row>
    <row r="8" spans="1:22" s="68" customFormat="1" ht="62.25" customHeight="1">
      <c r="B8" s="83">
        <f>H15</f>
        <v>400</v>
      </c>
      <c r="C8" s="164" t="s">
        <v>491</v>
      </c>
      <c r="D8" s="195"/>
      <c r="E8" s="84"/>
      <c r="F8" s="31"/>
      <c r="G8" s="3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ht="41.25" customHeight="1">
      <c r="A13" s="1"/>
      <c r="C13" s="149" t="s">
        <v>492</v>
      </c>
      <c r="D13" s="149"/>
      <c r="E13" s="149"/>
      <c r="F13" s="149"/>
      <c r="G13" s="149"/>
      <c r="H13" s="19" t="s">
        <v>493</v>
      </c>
      <c r="I13" s="8" t="s">
        <v>136</v>
      </c>
      <c r="J13" s="218" t="s">
        <v>494</v>
      </c>
      <c r="K13" s="219"/>
      <c r="L13" s="126"/>
    </row>
    <row r="14" spans="1:22" ht="41.25" customHeight="1">
      <c r="A14" s="1"/>
      <c r="C14" s="296" t="s">
        <v>495</v>
      </c>
      <c r="D14" s="296"/>
      <c r="E14" s="296"/>
      <c r="F14" s="296"/>
      <c r="G14" s="296"/>
      <c r="H14" s="19">
        <v>1.2</v>
      </c>
      <c r="I14" s="8" t="s">
        <v>496</v>
      </c>
      <c r="J14" s="218" t="s">
        <v>497</v>
      </c>
      <c r="K14" s="219"/>
    </row>
    <row r="15" spans="1:22" ht="41.25" customHeight="1">
      <c r="A15" s="1"/>
      <c r="C15" s="149" t="s">
        <v>498</v>
      </c>
      <c r="D15" s="149"/>
      <c r="E15" s="149"/>
      <c r="F15" s="149"/>
      <c r="G15" s="149"/>
      <c r="H15" s="16">
        <v>400</v>
      </c>
      <c r="I15" s="8" t="s">
        <v>144</v>
      </c>
      <c r="J15" s="285" t="s">
        <v>499</v>
      </c>
      <c r="K15" s="286"/>
    </row>
    <row r="16" spans="1:22" ht="45" customHeight="1">
      <c r="A16" s="1"/>
      <c r="C16" s="149" t="s">
        <v>500</v>
      </c>
      <c r="D16" s="149"/>
      <c r="E16" s="149"/>
      <c r="F16" s="149"/>
      <c r="G16" s="149"/>
      <c r="H16" s="16">
        <v>150</v>
      </c>
      <c r="I16" s="8" t="s">
        <v>501</v>
      </c>
      <c r="J16" s="285" t="s">
        <v>499</v>
      </c>
      <c r="K16" s="286"/>
    </row>
    <row r="17" spans="1:11" ht="47.25" customHeight="1">
      <c r="A17" s="1"/>
      <c r="C17" s="205" t="s">
        <v>502</v>
      </c>
      <c r="D17" s="205"/>
      <c r="E17" s="205"/>
      <c r="F17" s="205"/>
      <c r="G17" s="205"/>
      <c r="H17" s="16"/>
      <c r="I17" s="8"/>
      <c r="J17" s="285"/>
      <c r="K17" s="286"/>
    </row>
    <row r="18" spans="1:11">
      <c r="A18" s="1"/>
      <c r="C18" s="216" t="s">
        <v>503</v>
      </c>
      <c r="D18" s="216"/>
      <c r="E18" s="216"/>
      <c r="F18" s="216"/>
      <c r="G18" s="216"/>
      <c r="H18" s="16">
        <v>1</v>
      </c>
      <c r="I18" s="8" t="s">
        <v>118</v>
      </c>
      <c r="J18" s="285" t="s">
        <v>504</v>
      </c>
      <c r="K18" s="286"/>
    </row>
    <row r="19" spans="1:11" ht="15.75" customHeight="1">
      <c r="A19" s="1"/>
      <c r="C19" s="216" t="s">
        <v>505</v>
      </c>
      <c r="D19" s="216"/>
      <c r="E19" s="216"/>
      <c r="F19" s="216"/>
      <c r="G19" s="216"/>
      <c r="H19" s="19">
        <v>0.2</v>
      </c>
      <c r="I19" s="8" t="s">
        <v>118</v>
      </c>
      <c r="J19" s="285" t="s">
        <v>504</v>
      </c>
      <c r="K19" s="286"/>
    </row>
    <row r="20" spans="1:11" ht="39.75" customHeight="1">
      <c r="A20" s="1"/>
      <c r="C20" s="216" t="s">
        <v>506</v>
      </c>
      <c r="D20" s="216"/>
      <c r="E20" s="216"/>
      <c r="F20" s="216"/>
      <c r="G20" s="216"/>
      <c r="H20" s="16">
        <v>9</v>
      </c>
      <c r="I20" s="8" t="s">
        <v>118</v>
      </c>
      <c r="J20" s="285" t="s">
        <v>504</v>
      </c>
      <c r="K20" s="286"/>
    </row>
    <row r="21" spans="1:11" ht="35.25" customHeight="1">
      <c r="A21" s="1"/>
      <c r="C21" s="295" t="s">
        <v>507</v>
      </c>
      <c r="D21" s="185"/>
      <c r="E21" s="185"/>
      <c r="F21" s="185"/>
      <c r="G21" s="186"/>
      <c r="H21" s="16">
        <v>2.4</v>
      </c>
      <c r="I21" s="8" t="s">
        <v>118</v>
      </c>
      <c r="J21" s="285" t="s">
        <v>504</v>
      </c>
      <c r="K21" s="286"/>
    </row>
    <row r="22" spans="1:11" ht="32.25" customHeight="1">
      <c r="A22" s="1"/>
      <c r="C22" s="295" t="s">
        <v>508</v>
      </c>
      <c r="D22" s="185"/>
      <c r="E22" s="185"/>
      <c r="F22" s="185"/>
      <c r="G22" s="186"/>
      <c r="H22" s="16">
        <v>2</v>
      </c>
      <c r="I22" s="8" t="s">
        <v>118</v>
      </c>
      <c r="J22" s="285" t="s">
        <v>504</v>
      </c>
      <c r="K22" s="286"/>
    </row>
    <row r="23" spans="1:11" ht="48" customHeight="1">
      <c r="A23" s="1"/>
      <c r="C23" s="295" t="s">
        <v>509</v>
      </c>
      <c r="D23" s="185"/>
      <c r="E23" s="185"/>
      <c r="F23" s="185"/>
      <c r="G23" s="186"/>
      <c r="H23" s="16">
        <v>5</v>
      </c>
      <c r="I23" s="8" t="s">
        <v>118</v>
      </c>
      <c r="J23" s="285" t="s">
        <v>504</v>
      </c>
      <c r="K23" s="286"/>
    </row>
    <row r="24" spans="1:11" ht="61.5" customHeight="1">
      <c r="A24" s="1"/>
      <c r="C24" s="295" t="s">
        <v>510</v>
      </c>
      <c r="D24" s="185"/>
      <c r="E24" s="185"/>
      <c r="F24" s="185"/>
      <c r="G24" s="186"/>
      <c r="H24" s="16">
        <v>5</v>
      </c>
      <c r="I24" s="8" t="s">
        <v>118</v>
      </c>
      <c r="J24" s="285" t="s">
        <v>504</v>
      </c>
      <c r="K24" s="286"/>
    </row>
    <row r="25" spans="1:11">
      <c r="A25" s="1"/>
    </row>
    <row r="26" spans="1:11">
      <c r="A26" s="1"/>
    </row>
    <row r="27" spans="1:11" s="70" customFormat="1">
      <c r="B27" s="71" t="s">
        <v>100</v>
      </c>
      <c r="C27" s="72"/>
      <c r="D27" s="72"/>
      <c r="E27" s="72"/>
      <c r="F27" s="72"/>
    </row>
    <row r="28" spans="1:11">
      <c r="A28" s="1"/>
    </row>
    <row r="29" spans="1:11" ht="21" customHeight="1">
      <c r="A29" s="1"/>
      <c r="B29" s="75"/>
      <c r="C29" s="151" t="s">
        <v>79</v>
      </c>
      <c r="D29" s="151"/>
      <c r="E29" s="151"/>
      <c r="F29" s="151"/>
      <c r="G29" s="151"/>
      <c r="H29" s="74" t="s">
        <v>80</v>
      </c>
      <c r="I29" s="74" t="s">
        <v>81</v>
      </c>
      <c r="J29" s="159" t="s">
        <v>101</v>
      </c>
      <c r="K29" s="159"/>
    </row>
    <row r="30" spans="1:11" s="29" customFormat="1" ht="34.5" customHeight="1">
      <c r="A30" s="28"/>
      <c r="C30" s="220"/>
      <c r="D30" s="221"/>
      <c r="E30" s="221"/>
      <c r="F30" s="221"/>
      <c r="G30" s="221"/>
      <c r="H30" s="79"/>
      <c r="I30" s="42"/>
      <c r="J30" s="153"/>
      <c r="K30" s="154"/>
    </row>
    <row r="31" spans="1:11">
      <c r="A31" s="1"/>
    </row>
    <row r="32" spans="1:11">
      <c r="A32" s="1"/>
    </row>
    <row r="33" spans="1:22" s="70" customFormat="1">
      <c r="B33" s="71" t="s">
        <v>116</v>
      </c>
      <c r="C33" s="72"/>
      <c r="D33" s="72"/>
      <c r="E33" s="72"/>
      <c r="F33" s="72"/>
    </row>
    <row r="36" spans="1:22" ht="21" customHeight="1">
      <c r="A36" s="1"/>
      <c r="B36" s="75"/>
      <c r="C36" s="151" t="s">
        <v>79</v>
      </c>
      <c r="D36" s="151"/>
      <c r="E36" s="151"/>
      <c r="F36" s="151"/>
      <c r="G36" s="151"/>
      <c r="H36" s="74" t="s">
        <v>80</v>
      </c>
      <c r="I36" s="74" t="s">
        <v>81</v>
      </c>
      <c r="J36" s="159" t="s">
        <v>101</v>
      </c>
      <c r="K36" s="159"/>
    </row>
    <row r="37" spans="1:22" ht="78.95" customHeight="1">
      <c r="B37" s="31"/>
      <c r="C37" s="149" t="s">
        <v>47</v>
      </c>
      <c r="D37" s="149"/>
      <c r="E37" s="149"/>
      <c r="F37" s="149"/>
      <c r="G37" s="149"/>
      <c r="H37" s="12">
        <f>SUM(H18:H24)</f>
        <v>24.6</v>
      </c>
      <c r="I37" s="8" t="s">
        <v>118</v>
      </c>
      <c r="J37" s="206" t="s">
        <v>511</v>
      </c>
      <c r="K37" s="207"/>
    </row>
    <row r="38" spans="1:22">
      <c r="B38" s="31"/>
      <c r="C38" s="149"/>
      <c r="D38" s="149"/>
      <c r="E38" s="149"/>
      <c r="F38" s="149"/>
      <c r="G38" s="149"/>
      <c r="H38" s="30"/>
      <c r="I38" s="8"/>
      <c r="J38" s="153"/>
      <c r="K38" s="154"/>
    </row>
    <row r="39" spans="1:22">
      <c r="B39" s="31"/>
      <c r="C39" s="149"/>
      <c r="D39" s="149"/>
      <c r="E39" s="149"/>
      <c r="F39" s="149"/>
      <c r="G39" s="149"/>
      <c r="H39" s="30"/>
      <c r="I39" s="8"/>
      <c r="J39" s="153"/>
      <c r="K39" s="154"/>
    </row>
    <row r="40" spans="1:22" s="14" customFormat="1">
      <c r="A40"/>
      <c r="B40"/>
      <c r="G40"/>
      <c r="H40"/>
      <c r="I40"/>
      <c r="J40"/>
      <c r="K40"/>
      <c r="L40"/>
      <c r="M40"/>
      <c r="N40"/>
      <c r="O40"/>
      <c r="P40"/>
      <c r="Q40"/>
      <c r="R40"/>
      <c r="S40"/>
      <c r="T40"/>
      <c r="U40"/>
      <c r="V40"/>
    </row>
  </sheetData>
  <mergeCells count="48">
    <mergeCell ref="A1:B1"/>
    <mergeCell ref="B6:D6"/>
    <mergeCell ref="E6:G6"/>
    <mergeCell ref="H6:J6"/>
    <mergeCell ref="K6:M6"/>
    <mergeCell ref="C39:G39"/>
    <mergeCell ref="J39:K39"/>
    <mergeCell ref="C16:G16"/>
    <mergeCell ref="J16:K16"/>
    <mergeCell ref="C18:G18"/>
    <mergeCell ref="J18:K18"/>
    <mergeCell ref="C19:G19"/>
    <mergeCell ref="J19:K19"/>
    <mergeCell ref="C36:G36"/>
    <mergeCell ref="J36:K36"/>
    <mergeCell ref="C37:G37"/>
    <mergeCell ref="J37:K37"/>
    <mergeCell ref="C29:G29"/>
    <mergeCell ref="J29:K29"/>
    <mergeCell ref="C30:G30"/>
    <mergeCell ref="J30:K30"/>
    <mergeCell ref="J17:K17"/>
    <mergeCell ref="C15:G15"/>
    <mergeCell ref="J15:K15"/>
    <mergeCell ref="C38:G38"/>
    <mergeCell ref="J38:K38"/>
    <mergeCell ref="C20:G20"/>
    <mergeCell ref="J20:K20"/>
    <mergeCell ref="C21:G21"/>
    <mergeCell ref="J21:K21"/>
    <mergeCell ref="C24:G24"/>
    <mergeCell ref="J24:K24"/>
    <mergeCell ref="H7:J7"/>
    <mergeCell ref="K7:M7"/>
    <mergeCell ref="C22:G22"/>
    <mergeCell ref="J22:K22"/>
    <mergeCell ref="C23:G23"/>
    <mergeCell ref="J23:K23"/>
    <mergeCell ref="C8:D8"/>
    <mergeCell ref="C12:G12"/>
    <mergeCell ref="J12:K12"/>
    <mergeCell ref="C7:D7"/>
    <mergeCell ref="F7:G7"/>
    <mergeCell ref="C13:G13"/>
    <mergeCell ref="J13:K13"/>
    <mergeCell ref="C14:G14"/>
    <mergeCell ref="J14:K14"/>
    <mergeCell ref="C17:G17"/>
  </mergeCells>
  <hyperlinks>
    <hyperlink ref="A1" location="Sommaire!A1" display="Retour sommaire" xr:uid="{1EFCC067-F03F-49C1-A036-38C5975B0F0D}"/>
    <hyperlink ref="J15:K15" r:id="rId1" display="Clôture des assises de la forêt et du bois, Gouvernement, 2022" xr:uid="{AFD35DDC-8E97-4574-A055-C89826C925CE}"/>
    <hyperlink ref="J16:K16" r:id="rId2" display="Clôture des assises de la forêt et du bois, Gouvernement, 2022" xr:uid="{EC9D972E-386F-4F1A-BC93-CA1A3492D68D}"/>
    <hyperlink ref="J13:K13" r:id="rId3" display="Gouvernement, 2022" xr:uid="{9567066E-6D3F-D144-8B6E-4D86BA626AE7}"/>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6794-5325-4599-9412-1CDC201C6F30}">
  <sheetPr codeName="Feuil8">
    <tabColor theme="3" tint="0.79998168889431442"/>
  </sheetPr>
  <dimension ref="A1:V38"/>
  <sheetViews>
    <sheetView showGridLines="0" workbookViewId="0">
      <pane ySplit="2" topLeftCell="A3" activePane="bottomLeft" state="frozen"/>
      <selection pane="bottomLeft" activeCell="C12" sqref="C12:G12"/>
      <selection activeCell="G31" sqref="G31"/>
    </sheetView>
  </sheetViews>
  <sheetFormatPr defaultColWidth="11" defaultRowHeight="15.75"/>
  <cols>
    <col min="1" max="1" width="1.625" customWidth="1"/>
    <col min="2" max="2" width="20.125" customWidth="1"/>
    <col min="3" max="6" width="19.125" style="14" customWidth="1"/>
    <col min="7" max="13" width="19.125" customWidth="1"/>
  </cols>
  <sheetData>
    <row r="1" spans="1:22" ht="21.75" customHeight="1">
      <c r="A1" s="166" t="s">
        <v>78</v>
      </c>
      <c r="B1" s="166"/>
    </row>
    <row r="2" spans="1:22" s="66" customFormat="1" ht="25.5" customHeight="1">
      <c r="A2" s="4" t="s">
        <v>49</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102.75" customHeight="1">
      <c r="B7" s="83">
        <f>H13*2</f>
        <v>331</v>
      </c>
      <c r="C7" s="164" t="s">
        <v>512</v>
      </c>
      <c r="D7" s="195"/>
      <c r="E7" s="69">
        <f>H36</f>
        <v>75</v>
      </c>
      <c r="F7" s="200" t="s">
        <v>513</v>
      </c>
      <c r="G7" s="201"/>
      <c r="H7" s="200" t="s">
        <v>457</v>
      </c>
      <c r="I7" s="202"/>
      <c r="J7" s="201"/>
      <c r="K7" s="164" t="s">
        <v>514</v>
      </c>
      <c r="L7" s="294"/>
      <c r="M7" s="223"/>
    </row>
    <row r="8" spans="1:22" s="68" customFormat="1" ht="79.5" customHeight="1">
      <c r="B8" s="6"/>
      <c r="C8" s="222" t="s">
        <v>515</v>
      </c>
      <c r="D8" s="223"/>
      <c r="E8" s="93">
        <f>H35+H37</f>
        <v>16.72</v>
      </c>
      <c r="F8" s="200" t="s">
        <v>516</v>
      </c>
      <c r="G8" s="20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c r="A13" s="1"/>
      <c r="B13" s="6"/>
      <c r="C13" s="173" t="s">
        <v>517</v>
      </c>
      <c r="D13" s="174"/>
      <c r="E13" s="174"/>
      <c r="F13" s="174"/>
      <c r="G13" s="175"/>
      <c r="H13" s="23">
        <f>331/2</f>
        <v>165.5</v>
      </c>
      <c r="I13" s="8" t="s">
        <v>518</v>
      </c>
      <c r="J13" s="170" t="s">
        <v>494</v>
      </c>
      <c r="K13" s="171"/>
    </row>
    <row r="14" spans="1:22">
      <c r="A14" s="1"/>
      <c r="B14" s="6"/>
      <c r="C14" s="177" t="s">
        <v>519</v>
      </c>
      <c r="D14" s="174"/>
      <c r="E14" s="174"/>
      <c r="F14" s="174"/>
      <c r="G14" s="175"/>
      <c r="H14" s="23">
        <f>300/2</f>
        <v>150</v>
      </c>
      <c r="I14" s="8" t="s">
        <v>518</v>
      </c>
      <c r="J14" s="170" t="s">
        <v>494</v>
      </c>
      <c r="K14" s="171"/>
    </row>
    <row r="15" spans="1:22">
      <c r="A15" s="1"/>
      <c r="B15" s="6"/>
      <c r="C15" s="184" t="s">
        <v>520</v>
      </c>
      <c r="D15" s="185"/>
      <c r="E15" s="185"/>
      <c r="F15" s="185"/>
      <c r="G15" s="186"/>
      <c r="H15" s="23">
        <f>H14/2</f>
        <v>75</v>
      </c>
      <c r="I15" s="8" t="s">
        <v>518</v>
      </c>
      <c r="J15" s="170" t="s">
        <v>494</v>
      </c>
      <c r="K15" s="171"/>
    </row>
    <row r="16" spans="1:22">
      <c r="A16" s="1"/>
      <c r="B16" s="6"/>
      <c r="C16" s="177" t="s">
        <v>521</v>
      </c>
      <c r="D16" s="174"/>
      <c r="E16" s="174"/>
      <c r="F16" s="174"/>
      <c r="G16" s="175"/>
      <c r="H16" s="23">
        <f>31/2</f>
        <v>15.5</v>
      </c>
      <c r="I16" s="8" t="s">
        <v>518</v>
      </c>
      <c r="J16" s="170" t="s">
        <v>494</v>
      </c>
      <c r="K16" s="171"/>
    </row>
    <row r="17" spans="1:11">
      <c r="A17" s="1"/>
      <c r="B17" s="6"/>
      <c r="C17" s="173" t="s">
        <v>522</v>
      </c>
      <c r="D17" s="174"/>
      <c r="E17" s="174"/>
      <c r="F17" s="174"/>
      <c r="G17" s="175"/>
      <c r="H17" s="8">
        <v>317</v>
      </c>
      <c r="I17" s="10" t="s">
        <v>523</v>
      </c>
      <c r="J17" s="170" t="s">
        <v>524</v>
      </c>
      <c r="K17" s="171"/>
    </row>
    <row r="18" spans="1:11">
      <c r="A18" s="1"/>
      <c r="B18" s="6"/>
      <c r="C18" s="173" t="s">
        <v>525</v>
      </c>
      <c r="D18" s="174"/>
      <c r="E18" s="174"/>
      <c r="F18" s="174"/>
      <c r="G18" s="175"/>
      <c r="H18" s="135">
        <v>132.26</v>
      </c>
      <c r="I18" s="8" t="s">
        <v>144</v>
      </c>
      <c r="J18" s="170" t="s">
        <v>524</v>
      </c>
      <c r="K18" s="171"/>
    </row>
    <row r="19" spans="1:11">
      <c r="A19" s="1"/>
      <c r="B19" s="6"/>
      <c r="C19" s="173" t="s">
        <v>526</v>
      </c>
      <c r="D19" s="174"/>
      <c r="E19" s="174"/>
      <c r="F19" s="174"/>
      <c r="G19" s="175"/>
      <c r="H19" s="13">
        <v>101</v>
      </c>
      <c r="I19" s="8" t="s">
        <v>527</v>
      </c>
      <c r="J19" s="170" t="s">
        <v>528</v>
      </c>
      <c r="K19" s="171"/>
    </row>
    <row r="20" spans="1:11">
      <c r="A20" s="1"/>
      <c r="C20" s="76"/>
      <c r="D20" s="76"/>
      <c r="E20" s="76"/>
      <c r="F20" s="76"/>
      <c r="G20" s="76"/>
      <c r="H20" s="77"/>
      <c r="I20" s="33"/>
      <c r="J20" s="78"/>
      <c r="K20" s="78"/>
    </row>
    <row r="21" spans="1:11">
      <c r="A21" s="1"/>
      <c r="C21" s="15"/>
      <c r="D21" s="15"/>
      <c r="E21" s="15"/>
      <c r="F21" s="15"/>
      <c r="G21" s="7"/>
      <c r="H21" s="7"/>
      <c r="I21" s="7"/>
      <c r="J21" s="7"/>
      <c r="K21" s="7"/>
    </row>
    <row r="22" spans="1:11">
      <c r="A22" s="1"/>
    </row>
    <row r="23" spans="1:11" s="70" customFormat="1">
      <c r="B23" s="71" t="s">
        <v>100</v>
      </c>
      <c r="C23" s="72"/>
      <c r="D23" s="72"/>
      <c r="E23" s="72"/>
      <c r="F23" s="72"/>
    </row>
    <row r="24" spans="1:11">
      <c r="A24" s="1"/>
    </row>
    <row r="25" spans="1:11" ht="21" customHeight="1">
      <c r="A25" s="1"/>
      <c r="B25" s="75"/>
      <c r="C25" s="151" t="s">
        <v>79</v>
      </c>
      <c r="D25" s="151"/>
      <c r="E25" s="151"/>
      <c r="F25" s="151"/>
      <c r="G25" s="151"/>
      <c r="H25" s="74" t="s">
        <v>80</v>
      </c>
      <c r="I25" s="74" t="s">
        <v>81</v>
      </c>
      <c r="J25" s="159" t="s">
        <v>101</v>
      </c>
      <c r="K25" s="159"/>
    </row>
    <row r="26" spans="1:11" ht="34.5" customHeight="1">
      <c r="A26" s="1"/>
      <c r="B26" s="6"/>
      <c r="C26" s="173" t="s">
        <v>529</v>
      </c>
      <c r="D26" s="174"/>
      <c r="E26" s="174"/>
      <c r="F26" s="174"/>
      <c r="G26" s="175"/>
      <c r="H26" s="17">
        <v>30000</v>
      </c>
      <c r="I26" s="8" t="s">
        <v>348</v>
      </c>
      <c r="J26" s="155" t="s">
        <v>530</v>
      </c>
      <c r="K26" s="156"/>
    </row>
    <row r="27" spans="1:11" ht="34.5" customHeight="1">
      <c r="A27" s="1"/>
      <c r="B27" s="6"/>
      <c r="C27" s="173" t="s">
        <v>531</v>
      </c>
      <c r="D27" s="174"/>
      <c r="E27" s="174"/>
      <c r="F27" s="174"/>
      <c r="G27" s="175"/>
      <c r="H27" s="12">
        <v>12</v>
      </c>
      <c r="I27" s="10" t="s">
        <v>105</v>
      </c>
      <c r="J27" s="155" t="s">
        <v>532</v>
      </c>
      <c r="K27" s="156"/>
    </row>
    <row r="28" spans="1:11" ht="34.5" customHeight="1">
      <c r="A28" s="1"/>
      <c r="C28" s="149"/>
      <c r="D28" s="149"/>
      <c r="E28" s="149"/>
      <c r="F28" s="149"/>
      <c r="G28" s="149"/>
      <c r="H28" s="17"/>
      <c r="I28" s="10"/>
      <c r="J28" s="153"/>
      <c r="K28" s="154"/>
    </row>
    <row r="29" spans="1:11">
      <c r="A29" s="1"/>
    </row>
    <row r="30" spans="1:11">
      <c r="A30" s="1"/>
    </row>
    <row r="31" spans="1:11" s="70" customFormat="1">
      <c r="B31" s="71" t="s">
        <v>116</v>
      </c>
      <c r="C31" s="72"/>
      <c r="D31" s="72"/>
      <c r="E31" s="72"/>
      <c r="F31" s="72"/>
    </row>
    <row r="34" spans="1:22" ht="21" customHeight="1">
      <c r="A34" s="1"/>
      <c r="B34" s="75"/>
      <c r="C34" s="151" t="s">
        <v>79</v>
      </c>
      <c r="D34" s="151"/>
      <c r="E34" s="151"/>
      <c r="F34" s="151"/>
      <c r="G34" s="151"/>
      <c r="H34" s="74" t="s">
        <v>80</v>
      </c>
      <c r="I34" s="74" t="s">
        <v>81</v>
      </c>
      <c r="J34" s="159" t="s">
        <v>101</v>
      </c>
      <c r="K34" s="159"/>
    </row>
    <row r="35" spans="1:22" ht="44.25" customHeight="1">
      <c r="B35" s="10"/>
      <c r="C35" s="173" t="s">
        <v>533</v>
      </c>
      <c r="D35" s="174"/>
      <c r="E35" s="174"/>
      <c r="F35" s="174"/>
      <c r="G35" s="175"/>
      <c r="H35" s="12">
        <f>ROUND(H16,0)</f>
        <v>16</v>
      </c>
      <c r="I35" s="8" t="s">
        <v>118</v>
      </c>
      <c r="J35" s="153"/>
      <c r="K35" s="154"/>
    </row>
    <row r="36" spans="1:22" ht="48.75" customHeight="1">
      <c r="B36" s="10"/>
      <c r="C36" s="173" t="s">
        <v>534</v>
      </c>
      <c r="D36" s="174"/>
      <c r="E36" s="174"/>
      <c r="F36" s="174"/>
      <c r="G36" s="175"/>
      <c r="H36" s="12">
        <f>H15</f>
        <v>75</v>
      </c>
      <c r="I36" s="8" t="s">
        <v>118</v>
      </c>
      <c r="J36" s="191"/>
      <c r="K36" s="191"/>
    </row>
    <row r="37" spans="1:22" ht="44.25" customHeight="1">
      <c r="B37" s="10"/>
      <c r="C37" s="173" t="s">
        <v>535</v>
      </c>
      <c r="D37" s="174"/>
      <c r="E37" s="174"/>
      <c r="F37" s="174"/>
      <c r="G37" s="175"/>
      <c r="H37" s="26">
        <f>H27*Hyp_communes!D7/1000000</f>
        <v>0.72</v>
      </c>
      <c r="I37" s="8" t="s">
        <v>118</v>
      </c>
      <c r="J37" s="191"/>
      <c r="K37" s="191"/>
    </row>
    <row r="38" spans="1:22" s="14" customFormat="1">
      <c r="A38"/>
      <c r="B38"/>
      <c r="G38"/>
      <c r="H38"/>
      <c r="I38"/>
      <c r="J38"/>
      <c r="K38"/>
      <c r="L38"/>
      <c r="M38"/>
      <c r="N38"/>
      <c r="O38"/>
      <c r="P38"/>
      <c r="Q38"/>
      <c r="R38"/>
      <c r="S38"/>
      <c r="T38"/>
      <c r="U38"/>
      <c r="V38"/>
    </row>
  </sheetData>
  <mergeCells count="43">
    <mergeCell ref="C8:D8"/>
    <mergeCell ref="F8:G8"/>
    <mergeCell ref="C12:G12"/>
    <mergeCell ref="J12:K12"/>
    <mergeCell ref="A1:B1"/>
    <mergeCell ref="B6:D6"/>
    <mergeCell ref="E6:G6"/>
    <mergeCell ref="H6:J6"/>
    <mergeCell ref="K6:M6"/>
    <mergeCell ref="C7:D7"/>
    <mergeCell ref="F7:G7"/>
    <mergeCell ref="C37:G37"/>
    <mergeCell ref="J37:K37"/>
    <mergeCell ref="C14:G14"/>
    <mergeCell ref="J14:K14"/>
    <mergeCell ref="C16:G16"/>
    <mergeCell ref="J16:K16"/>
    <mergeCell ref="C17:G17"/>
    <mergeCell ref="J17:K17"/>
    <mergeCell ref="C34:G34"/>
    <mergeCell ref="J34:K34"/>
    <mergeCell ref="C35:G35"/>
    <mergeCell ref="J35:K35"/>
    <mergeCell ref="C27:G27"/>
    <mergeCell ref="J27:K27"/>
    <mergeCell ref="C28:G28"/>
    <mergeCell ref="J28:K28"/>
    <mergeCell ref="C15:G15"/>
    <mergeCell ref="J15:K15"/>
    <mergeCell ref="K7:M7"/>
    <mergeCell ref="H7:J7"/>
    <mergeCell ref="C36:G36"/>
    <mergeCell ref="J36:K36"/>
    <mergeCell ref="C13:G13"/>
    <mergeCell ref="J13:K13"/>
    <mergeCell ref="C25:G25"/>
    <mergeCell ref="J25:K25"/>
    <mergeCell ref="C26:G26"/>
    <mergeCell ref="J26:K26"/>
    <mergeCell ref="C18:G18"/>
    <mergeCell ref="J18:K18"/>
    <mergeCell ref="C19:G19"/>
    <mergeCell ref="J19:K19"/>
  </mergeCells>
  <hyperlinks>
    <hyperlink ref="A1" location="Sommaire!A1" display="Retour sommaire" xr:uid="{5AA8AF37-F3D5-4B28-BD13-97B9983370F7}"/>
    <hyperlink ref="J13:K13" r:id="rId1" display="Gouvernement, 2022" xr:uid="{1877607C-562D-427F-9F23-2D346BBBFAF2}"/>
    <hyperlink ref="J14:K14" r:id="rId2" display="Gouvernement, 2022" xr:uid="{2901A585-C409-400A-9CE7-2A2C51B1AD13}"/>
    <hyperlink ref="J16:K16" r:id="rId3" display="Gouvernement, 2022" xr:uid="{E2B2E58F-B27A-41BA-B247-E48F27924D86}"/>
    <hyperlink ref="J18:K18" r:id="rId4" display="STRMTG, 2019" xr:uid="{4D46E34A-DE48-4E24-9B35-A872E762623D}"/>
    <hyperlink ref="J17:K17" r:id="rId5" display="STRMTG, 2019" xr:uid="{98F476EB-BFA6-40E5-98B0-7E2CD9E484CF}"/>
    <hyperlink ref="J19:K19" r:id="rId6" display="ClimSnow" xr:uid="{610254E9-42BD-40D9-AF34-F14FBC8B6A19}"/>
    <hyperlink ref="J15:K15" r:id="rId7" display="Gouvernement, 2022" xr:uid="{0D19913B-4C0E-4C16-B5F8-B7613D10A2A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81CAF-1B9A-41B2-B774-55DFF5C323B8}">
  <sheetPr codeName="Feuil2">
    <tabColor theme="3" tint="0.79998168889431442"/>
  </sheetPr>
  <dimension ref="A1:I25"/>
  <sheetViews>
    <sheetView workbookViewId="0">
      <selection activeCell="A16" sqref="A16"/>
    </sheetView>
  </sheetViews>
  <sheetFormatPr defaultColWidth="11" defaultRowHeight="15.75"/>
  <cols>
    <col min="1" max="1" width="13" bestFit="1" customWidth="1"/>
    <col min="8" max="8" width="55.875" customWidth="1"/>
    <col min="9" max="9" width="76.875" customWidth="1"/>
  </cols>
  <sheetData>
    <row r="1" spans="1:9">
      <c r="A1" t="s">
        <v>56</v>
      </c>
    </row>
    <row r="2" spans="1:9">
      <c r="A2" t="s">
        <v>57</v>
      </c>
    </row>
    <row r="3" spans="1:9">
      <c r="A3" t="s">
        <v>58</v>
      </c>
    </row>
    <row r="4" spans="1:9">
      <c r="A4" t="s">
        <v>59</v>
      </c>
    </row>
    <row r="5" spans="1:9">
      <c r="A5" t="s">
        <v>60</v>
      </c>
    </row>
    <row r="6" spans="1:9">
      <c r="A6" t="s">
        <v>61</v>
      </c>
    </row>
    <row r="7" spans="1:9">
      <c r="A7" t="s">
        <v>62</v>
      </c>
    </row>
    <row r="8" spans="1:9">
      <c r="A8" t="s">
        <v>63</v>
      </c>
    </row>
    <row r="9" spans="1:9">
      <c r="A9" t="s">
        <v>64</v>
      </c>
    </row>
    <row r="10" spans="1:9">
      <c r="A10" t="s">
        <v>65</v>
      </c>
      <c r="C10" s="47" t="s">
        <v>5</v>
      </c>
    </row>
    <row r="11" spans="1:9">
      <c r="A11" t="s">
        <v>66</v>
      </c>
      <c r="C11" s="49" t="e" cm="1">
        <f t="array" aca="1" ref="C11" ca="1">HYPERLINK("["&amp;MID(CELL("nomfichier",Navigation!A1),SEARCH("[",CELL("nomfichier",Navigation!A1))+1,SEARCH("]",CELL("nomfichier",Navigation!A1))-SEARCH("[",CELL("nomfichier",Navigation!A1))-1)&amp;"]"&amp;Navigation!A1&amp;"!A1","Sommaire")</f>
        <v>#VALUE!</v>
      </c>
      <c r="H11" s="148" t="s">
        <v>67</v>
      </c>
      <c r="I11" s="148"/>
    </row>
    <row r="12" spans="1:9">
      <c r="A12" t="s">
        <v>68</v>
      </c>
      <c r="C12" s="48" t="e" cm="1">
        <f t="array" aca="1" ref="C12" ca="1">HYPERLINK("["&amp;MID(CELL("nomfichier",Navigation!A2),SEARCH("[",CELL("nomfichier",Navigation!A2))+1,SEARCH("]",CELL("nomfichier",Navigation!A2))-SEARCH("[",CELL("nomfichier",Navigation!A2))-1)&amp;"]"&amp;Navigation!A2&amp;"!A1","Pilotage")</f>
        <v>#VALUE!</v>
      </c>
      <c r="H12" s="143" t="s">
        <v>57</v>
      </c>
      <c r="I12" s="37" t="s">
        <v>9</v>
      </c>
    </row>
    <row r="13" spans="1:9">
      <c r="A13" t="s">
        <v>69</v>
      </c>
      <c r="C13" s="48" t="e" cm="1">
        <f t="array" aca="1" ref="C13" ca="1">HYPERLINK("["&amp;MID(CELL("nomfichier",Navigation!A4),SEARCH("[",CELL("nomfichier",Navigation!A4))+1,SEARCH("]",CELL("nomfichier",Navigation!A4))-SEARCH("[",CELL("nomfichier",Navigation!A4))-1)&amp;"]"&amp;Navigation!A4&amp;"!A1","Eau")</f>
        <v>#VALUE!</v>
      </c>
      <c r="H13" s="144" t="s">
        <v>58</v>
      </c>
      <c r="I13" s="38" t="s">
        <v>70</v>
      </c>
    </row>
    <row r="14" spans="1:9">
      <c r="A14" t="s">
        <v>71</v>
      </c>
      <c r="C14" s="48" t="e" cm="1">
        <f t="array" aca="1" ref="C14" ca="1">HYPERLINK("["&amp;MID(CELL("nomfichier",Navigation!A6),SEARCH("[",CELL("nomfichier",Navigation!A6))+1,SEARCH("]",CELL("nomfichier",Navigation!A6))-SEARCH("[",CELL("nomfichier",Navigation!A6))-1)&amp;"]"&amp;Navigation!A6&amp;"!A1","Santé")</f>
        <v>#VALUE!</v>
      </c>
      <c r="H14" s="143" t="s">
        <v>59</v>
      </c>
      <c r="I14" s="38" t="s">
        <v>14</v>
      </c>
    </row>
    <row r="15" spans="1:9">
      <c r="A15" t="s">
        <v>72</v>
      </c>
      <c r="C15" s="48" t="e" cm="1">
        <f t="array" aca="1" ref="C15" ca="1">HYPERLINK("["&amp;MID(CELL("nomfichier",Navigation!A5),SEARCH("[",CELL("nomfichier",Navigation!A5))+1,SEARCH("]",CELL("nomfichier",Navigation!A5))-SEARCH("[",CELL("nomfichier",Navigation!A5))-1)&amp;"]"&amp;Navigation!A5&amp;"!A1","Sécurité civile")</f>
        <v>#VALUE!</v>
      </c>
      <c r="H15" s="144" t="s">
        <v>73</v>
      </c>
      <c r="I15" s="38" t="s">
        <v>74</v>
      </c>
    </row>
    <row r="16" spans="1:9">
      <c r="C16" s="48" t="e" cm="1">
        <f t="array" aca="1" ref="C16" ca="1">HYPERLINK("["&amp;MID(CELL("nomfichier",Navigation!A3),SEARCH("[",CELL("nomfichier",Navigation!A3))+1,SEARCH("]",CELL("nomfichier",Navigation!A3))-SEARCH("[",CELL("nomfichier",Navigation!A3))-1)&amp;"]"&amp;Navigation!A3&amp;"!A1","Prévention des risques")</f>
        <v>#VALUE!</v>
      </c>
      <c r="H16" s="143" t="s">
        <v>61</v>
      </c>
      <c r="I16" s="38" t="s">
        <v>17</v>
      </c>
    </row>
    <row r="17" spans="3:9">
      <c r="C17" s="48" t="e" cm="1">
        <f t="array" aca="1" ref="C17" ca="1">HYPERLINK("["&amp;MID(CELL("nomfichier",Navigation!A11),SEARCH("[",CELL("nomfichier",Navigation!A11))+1,SEARCH("]",CELL("nomfichier",Navigation!A11))-SEARCH("[",CELL("nomfichier",Navigation!A11))-1)&amp;"]"&amp;Navigation!A11&amp;"!A1","Villes")</f>
        <v>#VALUE!</v>
      </c>
      <c r="H17" s="40" t="s">
        <v>62</v>
      </c>
      <c r="I17" s="38" t="s">
        <v>41</v>
      </c>
    </row>
    <row r="18" spans="3:9">
      <c r="C18" s="48" t="e" cm="1">
        <f t="array" aca="1" ref="C18" ca="1">HYPERLINK("["&amp;MID(CELL("nomfichier",Navigation!A10),SEARCH("[",CELL("nomfichier",Navigation!A10))+1,SEARCH("]",CELL("nomfichier",Navigation!A10))-SEARCH("[",CELL("nomfichier",Navigation!A10))-1)&amp;"]"&amp;Navigation!A10&amp;"!A1","Bâtiments")</f>
        <v>#VALUE!</v>
      </c>
      <c r="H18" s="40" t="s">
        <v>63</v>
      </c>
      <c r="I18" s="38" t="s">
        <v>49</v>
      </c>
    </row>
    <row r="19" spans="3:9">
      <c r="C19" s="48" t="e" cm="1">
        <f t="array" aca="1" ref="C19" ca="1">HYPERLINK("["&amp;MID(CELL("nomfichier",Navigation!A12),SEARCH("[",CELL("nomfichier",Navigation!A12))+1,SEARCH("]",CELL("nomfichier",Navigation!A12))-SEARCH("[",CELL("nomfichier",Navigation!A12))-1)&amp;"]"&amp;Navigation!A12&amp;"!A1","Transports")</f>
        <v>#VALUE!</v>
      </c>
      <c r="H19" s="41" t="s">
        <v>64</v>
      </c>
      <c r="I19" s="38" t="s">
        <v>46</v>
      </c>
    </row>
    <row r="20" spans="3:9">
      <c r="C20" s="48" t="e" cm="1">
        <f t="array" aca="1" ref="C20" ca="1">HYPERLINK("["&amp;MID(CELL("nomfichier",Navigation!A13),SEARCH("[",CELL("nomfichier",Navigation!A13))+1,SEARCH("]",CELL("nomfichier",Navigation!A13))-SEARCH("[",CELL("nomfichier",Navigation!A13))-1)&amp;"]"&amp;Navigation!A13&amp;"!A1","Energie")</f>
        <v>#VALUE!</v>
      </c>
      <c r="H20" s="41" t="s">
        <v>65</v>
      </c>
      <c r="I20" s="38" t="s">
        <v>31</v>
      </c>
    </row>
    <row r="21" spans="3:9">
      <c r="C21" s="48" t="e" cm="1">
        <f t="array" aca="1" ref="C21" ca="1">HYPERLINK("["&amp;MID(CELL("nomfichier",Navigation!A14),SEARCH("[",CELL("nomfichier",Navigation!A14))+1,SEARCH("]",CELL("nomfichier",Navigation!A14))-SEARCH("[",CELL("nomfichier",Navigation!A14))-1)&amp;"]"&amp;Navigation!A14&amp;"!A1","Réseaux d'eau")</f>
        <v>#VALUE!</v>
      </c>
      <c r="H21" s="40" t="s">
        <v>66</v>
      </c>
      <c r="I21" s="38" t="s">
        <v>26</v>
      </c>
    </row>
    <row r="22" spans="3:9">
      <c r="C22" s="48" t="e" cm="1">
        <f t="array" aca="1" ref="C22" ca="1">HYPERLINK("["&amp;MID(CELL("nomfichier",Navigation!A7),SEARCH("[",CELL("nomfichier",Navigation!A7))+1,SEARCH("]",CELL("nomfichier",Navigation!A7))-SEARCH("[",CELL("nomfichier",Navigation!A7))-1)&amp;"]"&amp;Navigation!A7&amp;"!A1","Littoral")</f>
        <v>#VALUE!</v>
      </c>
      <c r="H22" s="41" t="s">
        <v>68</v>
      </c>
      <c r="I22" s="39" t="s">
        <v>36</v>
      </c>
    </row>
    <row r="23" spans="3:9">
      <c r="C23" s="48" t="e" cm="1">
        <f t="array" aca="1" ref="C23" ca="1">HYPERLINK("["&amp;MID(CELL("nomfichier",Navigation!A9),SEARCH("[",CELL("nomfichier",Navigation!A9))+1,SEARCH("]",CELL("nomfichier",Navigation!A9))-SEARCH("[",CELL("nomfichier",Navigation!A9))-1)&amp;"]"&amp;Navigation!A9&amp;"!A1","Forêt")</f>
        <v>#VALUE!</v>
      </c>
      <c r="H23" s="144" t="s">
        <v>69</v>
      </c>
      <c r="I23" s="38" t="s">
        <v>75</v>
      </c>
    </row>
    <row r="24" spans="3:9">
      <c r="C24" s="48" t="e" cm="1">
        <f t="array" aca="1" ref="C24" ca="1">HYPERLINK("["&amp;MID(CELL("nomfichier",Navigation!A8),SEARCH("[",CELL("nomfichier",Navigation!A8))+1,SEARCH("]",CELL("nomfichier",Navigation!A8))-SEARCH("[",CELL("nomfichier",Navigation!A8))-1)&amp;"]"&amp;Navigation!A8&amp;"!A1","Montagne")</f>
        <v>#VALUE!</v>
      </c>
      <c r="H24" s="144" t="s">
        <v>71</v>
      </c>
      <c r="I24" s="38" t="s">
        <v>76</v>
      </c>
    </row>
    <row r="25" spans="3:9">
      <c r="C25" s="48" t="e" cm="1">
        <f t="array" aca="1" ref="C25" ca="1">HYPERLINK("["&amp;MID(CELL("nomfichier",Navigation!A15),SEARCH("[",CELL("nomfichier",Navigation!A15))+1,SEARCH("]",CELL("nomfichier",Navigation!A15))-SEARCH("[",CELL("nomfichier",Navigation!A15))-1)&amp;"]"&amp;Navigation!A15&amp;"!A1","Hypothèses générales")</f>
        <v>#VALUE!</v>
      </c>
      <c r="H25" s="144" t="s">
        <v>77</v>
      </c>
      <c r="I25" s="38" t="s">
        <v>54</v>
      </c>
    </row>
  </sheetData>
  <mergeCells count="1">
    <mergeCell ref="H11:I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F8824-72B2-423F-95E4-DD66F70FF586}">
  <sheetPr codeName="Feuil3">
    <tabColor theme="3" tint="0.79998168889431442"/>
  </sheetPr>
  <dimension ref="A1:P10"/>
  <sheetViews>
    <sheetView showGridLines="0" workbookViewId="0">
      <pane ySplit="2" topLeftCell="A3" activePane="bottomLeft" state="frozen"/>
      <selection pane="bottomLeft" activeCell="F35" sqref="F35"/>
      <selection activeCell="G31" sqref="G31"/>
    </sheetView>
  </sheetViews>
  <sheetFormatPr defaultColWidth="11" defaultRowHeight="15.75"/>
  <cols>
    <col min="1" max="1" width="4.375" customWidth="1"/>
    <col min="2" max="2" width="21.125" style="14" customWidth="1"/>
    <col min="3" max="3" width="36.625" style="14" customWidth="1"/>
    <col min="4" max="5" width="7.625" customWidth="1"/>
    <col min="6" max="6" width="11" customWidth="1"/>
  </cols>
  <sheetData>
    <row r="1" spans="1:16" ht="21.75" customHeight="1">
      <c r="B1" s="150" t="s">
        <v>78</v>
      </c>
      <c r="C1" s="150"/>
    </row>
    <row r="2" spans="1:16" s="66" customFormat="1" ht="25.5" customHeight="1">
      <c r="A2" s="4" t="s">
        <v>54</v>
      </c>
      <c r="B2" s="67"/>
      <c r="C2" s="67"/>
      <c r="E2" s="5"/>
      <c r="F2" s="5"/>
      <c r="G2" s="5"/>
      <c r="H2" s="5"/>
      <c r="I2" s="5"/>
      <c r="J2" s="5"/>
      <c r="K2" s="5"/>
      <c r="L2" s="5"/>
      <c r="M2" s="5"/>
      <c r="N2" s="5"/>
      <c r="O2" s="5"/>
      <c r="P2" s="5"/>
    </row>
    <row r="6" spans="1:16" ht="21" customHeight="1">
      <c r="A6" s="1"/>
      <c r="B6" s="151" t="s">
        <v>79</v>
      </c>
      <c r="C6" s="151"/>
      <c r="D6" s="74" t="s">
        <v>80</v>
      </c>
      <c r="E6" s="74" t="s">
        <v>81</v>
      </c>
    </row>
    <row r="7" spans="1:16">
      <c r="A7" s="1"/>
      <c r="B7" s="152" t="s">
        <v>82</v>
      </c>
      <c r="C7" s="152"/>
      <c r="D7" s="16">
        <v>60000</v>
      </c>
      <c r="E7" s="8" t="s">
        <v>83</v>
      </c>
    </row>
    <row r="8" spans="1:16">
      <c r="A8" s="1"/>
      <c r="B8" s="149"/>
      <c r="C8" s="149"/>
      <c r="D8" s="9"/>
      <c r="E8" s="8"/>
    </row>
    <row r="9" spans="1:16">
      <c r="A9" s="1"/>
      <c r="B9" s="149"/>
      <c r="C9" s="149"/>
      <c r="D9" s="8"/>
      <c r="E9" s="10"/>
    </row>
    <row r="10" spans="1:16">
      <c r="A10" s="1"/>
    </row>
  </sheetData>
  <mergeCells count="5">
    <mergeCell ref="B9:C9"/>
    <mergeCell ref="B1:C1"/>
    <mergeCell ref="B6:C6"/>
    <mergeCell ref="B7:C7"/>
    <mergeCell ref="B8:C8"/>
  </mergeCells>
  <hyperlinks>
    <hyperlink ref="B1" location="Sommaire!A1" display="Retour sommaire" xr:uid="{BE017C00-46EE-4366-9EEF-FA2657AC1BB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8ADE9-4AE0-462F-9C04-ABBD1F7A1CC7}">
  <sheetPr codeName="Feuil4">
    <tabColor theme="3" tint="0.79998168889431442"/>
  </sheetPr>
  <dimension ref="A1:V42"/>
  <sheetViews>
    <sheetView showGridLines="0" workbookViewId="0">
      <pane ySplit="2" topLeftCell="A29" activePane="bottomLeft" state="frozen"/>
      <selection pane="bottomLeft" activeCell="H18" sqref="H18"/>
      <selection activeCell="G31" sqref="G31"/>
    </sheetView>
  </sheetViews>
  <sheetFormatPr defaultColWidth="11" defaultRowHeight="15.75"/>
  <cols>
    <col min="1" max="1" width="1.625" customWidth="1"/>
    <col min="2" max="2" width="20.5" customWidth="1"/>
    <col min="3" max="6" width="19.125" style="14" customWidth="1"/>
    <col min="7" max="13" width="19.125" customWidth="1"/>
  </cols>
  <sheetData>
    <row r="1" spans="1:22" ht="21.75" customHeight="1">
      <c r="A1" s="166" t="s">
        <v>78</v>
      </c>
      <c r="B1" s="166"/>
    </row>
    <row r="2" spans="1:22" s="66" customFormat="1" ht="25.5" customHeight="1">
      <c r="A2" s="4" t="s">
        <v>9</v>
      </c>
      <c r="C2" s="67"/>
      <c r="D2" s="67"/>
      <c r="E2" s="67"/>
      <c r="F2" s="67"/>
      <c r="I2" s="5"/>
      <c r="J2" s="5"/>
      <c r="K2" s="5"/>
      <c r="L2" s="5"/>
      <c r="M2" s="5"/>
      <c r="N2" s="5"/>
      <c r="O2" s="5"/>
      <c r="P2" s="5"/>
      <c r="Q2" s="5"/>
      <c r="R2" s="5"/>
      <c r="S2" s="5"/>
      <c r="T2" s="5"/>
      <c r="U2" s="5"/>
      <c r="V2" s="5"/>
    </row>
    <row r="6" spans="1:22" ht="18.75" customHeight="1">
      <c r="B6" s="165" t="s">
        <v>84</v>
      </c>
      <c r="C6" s="165"/>
      <c r="D6" s="165"/>
      <c r="E6" s="163" t="s">
        <v>85</v>
      </c>
      <c r="F6" s="163"/>
      <c r="G6" s="163"/>
    </row>
    <row r="7" spans="1:22" s="68" customFormat="1" ht="62.25" customHeight="1">
      <c r="B7" s="152" t="s">
        <v>86</v>
      </c>
      <c r="C7" s="152"/>
      <c r="D7" s="164"/>
      <c r="E7" s="69">
        <f>(H36+H37+H38+H39+H40+H41)/1000000</f>
        <v>115.86</v>
      </c>
      <c r="F7" s="167" t="s">
        <v>10</v>
      </c>
      <c r="G7" s="167"/>
    </row>
    <row r="8" spans="1:22" s="68" customFormat="1" ht="62.25" customHeight="1">
      <c r="B8"/>
      <c r="C8" s="162"/>
      <c r="D8" s="162"/>
      <c r="E8" s="69">
        <f>H42/1000000</f>
        <v>10</v>
      </c>
      <c r="F8" s="167" t="s">
        <v>12</v>
      </c>
      <c r="G8" s="167"/>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ht="15.75" customHeight="1">
      <c r="A13" s="1"/>
      <c r="C13" s="173" t="s">
        <v>89</v>
      </c>
      <c r="D13" s="174"/>
      <c r="E13" s="174"/>
      <c r="F13" s="174"/>
      <c r="G13" s="175"/>
      <c r="H13" s="18">
        <v>12</v>
      </c>
      <c r="I13" s="8" t="s">
        <v>90</v>
      </c>
      <c r="J13" s="157" t="s">
        <v>91</v>
      </c>
      <c r="K13" s="158"/>
    </row>
    <row r="14" spans="1:22" ht="15.75" customHeight="1">
      <c r="A14" s="1"/>
      <c r="C14" s="173" t="s">
        <v>92</v>
      </c>
      <c r="D14" s="174"/>
      <c r="E14" s="174"/>
      <c r="F14" s="174"/>
      <c r="G14" s="175"/>
      <c r="H14" s="18">
        <v>18</v>
      </c>
      <c r="I14" s="8" t="s">
        <v>93</v>
      </c>
      <c r="J14" s="157"/>
      <c r="K14" s="158"/>
    </row>
    <row r="15" spans="1:22" ht="15.75" customHeight="1">
      <c r="A15" s="1"/>
      <c r="C15" s="173" t="s">
        <v>94</v>
      </c>
      <c r="D15" s="174"/>
      <c r="E15" s="174"/>
      <c r="F15" s="174"/>
      <c r="G15" s="175"/>
      <c r="H15" s="18">
        <v>18</v>
      </c>
      <c r="I15" s="8"/>
      <c r="J15" s="157"/>
      <c r="K15" s="158"/>
    </row>
    <row r="16" spans="1:22" ht="15.75" customHeight="1">
      <c r="A16" s="1"/>
      <c r="C16" s="173" t="s">
        <v>95</v>
      </c>
      <c r="D16" s="174"/>
      <c r="E16" s="174"/>
      <c r="F16" s="174"/>
      <c r="G16" s="175"/>
      <c r="H16" s="18">
        <v>101</v>
      </c>
      <c r="I16" s="8" t="s">
        <v>96</v>
      </c>
      <c r="J16" s="157"/>
      <c r="K16" s="158"/>
    </row>
    <row r="17" spans="1:11">
      <c r="A17" s="1"/>
      <c r="C17" s="149" t="s">
        <v>97</v>
      </c>
      <c r="D17" s="149"/>
      <c r="E17" s="149"/>
      <c r="F17" s="149"/>
      <c r="G17" s="149"/>
      <c r="H17" s="18">
        <v>756</v>
      </c>
      <c r="I17" s="8" t="s">
        <v>98</v>
      </c>
      <c r="J17" s="170" t="s">
        <v>99</v>
      </c>
      <c r="K17" s="171"/>
    </row>
    <row r="18" spans="1:11">
      <c r="A18" s="1"/>
      <c r="C18" s="15"/>
      <c r="D18" s="15"/>
      <c r="E18" s="15"/>
      <c r="F18" s="15"/>
      <c r="G18" s="7"/>
      <c r="H18" s="7"/>
      <c r="I18" s="7"/>
      <c r="J18" s="7"/>
      <c r="K18" s="7"/>
    </row>
    <row r="19" spans="1:11">
      <c r="A19" s="1"/>
    </row>
    <row r="20" spans="1:11" s="70" customFormat="1">
      <c r="B20" s="71" t="s">
        <v>100</v>
      </c>
      <c r="C20" s="72"/>
      <c r="D20" s="72"/>
      <c r="E20" s="72"/>
      <c r="F20" s="72"/>
    </row>
    <row r="21" spans="1:11">
      <c r="A21" s="1"/>
    </row>
    <row r="22" spans="1:11" ht="21" customHeight="1">
      <c r="A22" s="1"/>
      <c r="B22" s="75"/>
      <c r="C22" s="151" t="s">
        <v>79</v>
      </c>
      <c r="D22" s="151"/>
      <c r="E22" s="151"/>
      <c r="F22" s="151"/>
      <c r="G22" s="151"/>
      <c r="H22" s="74" t="s">
        <v>80</v>
      </c>
      <c r="I22" s="74" t="s">
        <v>81</v>
      </c>
      <c r="J22" s="159" t="s">
        <v>101</v>
      </c>
      <c r="K22" s="159"/>
    </row>
    <row r="23" spans="1:11" ht="34.5" customHeight="1">
      <c r="A23" s="1"/>
      <c r="C23" s="172" t="s">
        <v>102</v>
      </c>
      <c r="D23" s="172"/>
      <c r="E23" s="172"/>
      <c r="F23" s="172"/>
      <c r="G23" s="172"/>
      <c r="H23" s="36">
        <v>1</v>
      </c>
      <c r="I23" s="44" t="s">
        <v>103</v>
      </c>
      <c r="J23" s="155"/>
      <c r="K23" s="156"/>
    </row>
    <row r="24" spans="1:11" ht="34.5" customHeight="1">
      <c r="A24" s="1"/>
      <c r="C24" s="176" t="s">
        <v>104</v>
      </c>
      <c r="D24" s="176"/>
      <c r="E24" s="176"/>
      <c r="F24" s="176"/>
      <c r="G24" s="176"/>
      <c r="H24" s="125">
        <v>12</v>
      </c>
      <c r="I24" s="35" t="s">
        <v>105</v>
      </c>
      <c r="J24" s="160"/>
      <c r="K24" s="161"/>
    </row>
    <row r="25" spans="1:11" ht="34.5" customHeight="1">
      <c r="A25" s="1"/>
      <c r="C25" s="149" t="s">
        <v>106</v>
      </c>
      <c r="D25" s="149"/>
      <c r="E25" s="149"/>
      <c r="F25" s="149"/>
      <c r="G25" s="149"/>
      <c r="H25" s="12">
        <v>1</v>
      </c>
      <c r="I25" s="8" t="s">
        <v>107</v>
      </c>
      <c r="J25" s="153"/>
      <c r="K25" s="154"/>
    </row>
    <row r="26" spans="1:11" ht="34.5" customHeight="1">
      <c r="A26" s="1"/>
      <c r="C26" s="172" t="s">
        <v>108</v>
      </c>
      <c r="D26" s="172"/>
      <c r="E26" s="172"/>
      <c r="F26" s="172"/>
      <c r="G26" s="172"/>
      <c r="H26" s="36">
        <v>1</v>
      </c>
      <c r="I26" s="44" t="s">
        <v>109</v>
      </c>
      <c r="J26" s="155"/>
      <c r="K26" s="156"/>
    </row>
    <row r="27" spans="1:11" ht="34.5" customHeight="1">
      <c r="A27" s="1"/>
      <c r="C27" s="149" t="s">
        <v>110</v>
      </c>
      <c r="D27" s="149"/>
      <c r="E27" s="149"/>
      <c r="F27" s="149"/>
      <c r="G27" s="149"/>
      <c r="H27" s="12">
        <v>7</v>
      </c>
      <c r="I27" s="8" t="s">
        <v>107</v>
      </c>
      <c r="J27" s="153"/>
      <c r="K27" s="154"/>
    </row>
    <row r="28" spans="1:11" ht="34.5" customHeight="1">
      <c r="A28" s="1"/>
      <c r="C28" s="149" t="s">
        <v>111</v>
      </c>
      <c r="D28" s="149"/>
      <c r="E28" s="149"/>
      <c r="F28" s="149"/>
      <c r="G28" s="149"/>
      <c r="H28" s="17">
        <v>500000</v>
      </c>
      <c r="I28" s="10" t="s">
        <v>112</v>
      </c>
      <c r="J28" s="153"/>
      <c r="K28" s="154"/>
    </row>
    <row r="29" spans="1:11" ht="34.5" customHeight="1">
      <c r="A29" s="1"/>
      <c r="C29" s="149" t="s">
        <v>113</v>
      </c>
      <c r="D29" s="149"/>
      <c r="E29" s="149"/>
      <c r="F29" s="149"/>
      <c r="G29" s="149"/>
      <c r="H29" s="17">
        <v>2</v>
      </c>
      <c r="I29" s="10" t="s">
        <v>114</v>
      </c>
      <c r="J29" s="153"/>
      <c r="K29" s="154"/>
    </row>
    <row r="30" spans="1:11" ht="34.5" customHeight="1">
      <c r="A30" s="1"/>
      <c r="C30" s="149" t="s">
        <v>115</v>
      </c>
      <c r="D30" s="149"/>
      <c r="E30" s="149"/>
      <c r="F30" s="149"/>
      <c r="G30" s="149"/>
      <c r="H30" s="17">
        <v>2</v>
      </c>
      <c r="I30" s="10" t="s">
        <v>114</v>
      </c>
      <c r="J30" s="153"/>
      <c r="K30" s="154"/>
    </row>
    <row r="31" spans="1:11">
      <c r="A31" s="1"/>
    </row>
    <row r="32" spans="1:11" s="70" customFormat="1">
      <c r="B32" s="71" t="s">
        <v>116</v>
      </c>
      <c r="C32" s="72"/>
      <c r="D32" s="72"/>
      <c r="E32" s="72"/>
      <c r="F32" s="72"/>
    </row>
    <row r="35" spans="1:11" ht="21" customHeight="1">
      <c r="A35" s="1"/>
      <c r="B35" s="75"/>
      <c r="C35" s="151" t="s">
        <v>79</v>
      </c>
      <c r="D35" s="151"/>
      <c r="E35" s="151"/>
      <c r="F35" s="151"/>
      <c r="G35" s="151"/>
      <c r="H35" s="74" t="s">
        <v>80</v>
      </c>
      <c r="I35" s="74" t="s">
        <v>81</v>
      </c>
      <c r="J35" s="159" t="s">
        <v>101</v>
      </c>
      <c r="K35" s="159"/>
    </row>
    <row r="36" spans="1:11" ht="38.25" customHeight="1">
      <c r="B36" s="31"/>
      <c r="C36" s="176" t="s">
        <v>117</v>
      </c>
      <c r="D36" s="176"/>
      <c r="E36" s="176"/>
      <c r="F36" s="176"/>
      <c r="G36" s="176"/>
      <c r="H36" s="127">
        <f>(H23*H13+H24)*Hyp_communes!D7</f>
        <v>1440000</v>
      </c>
      <c r="I36" s="35" t="s">
        <v>118</v>
      </c>
      <c r="J36" s="160"/>
      <c r="K36" s="161"/>
    </row>
    <row r="37" spans="1:11" ht="38.25" customHeight="1">
      <c r="B37" s="31"/>
      <c r="C37" s="149" t="s">
        <v>119</v>
      </c>
      <c r="D37" s="149"/>
      <c r="E37" s="149"/>
      <c r="F37" s="149"/>
      <c r="G37" s="149"/>
      <c r="H37" s="30">
        <f>H25*H14*Hyp_communes!D7</f>
        <v>1080000</v>
      </c>
      <c r="I37" s="8" t="s">
        <v>118</v>
      </c>
      <c r="J37" s="153"/>
      <c r="K37" s="154"/>
    </row>
    <row r="38" spans="1:11" ht="38.25" customHeight="1">
      <c r="B38" s="31"/>
      <c r="C38" s="149" t="s">
        <v>120</v>
      </c>
      <c r="D38" s="149"/>
      <c r="E38" s="149"/>
      <c r="F38" s="149"/>
      <c r="G38" s="149"/>
      <c r="H38" s="30">
        <f>H26*H16*Hyp_communes!D7</f>
        <v>6060000</v>
      </c>
      <c r="I38" s="8" t="s">
        <v>118</v>
      </c>
      <c r="J38" s="153"/>
      <c r="K38" s="154"/>
    </row>
    <row r="39" spans="1:11" ht="38.25" customHeight="1">
      <c r="B39" s="31"/>
      <c r="C39" s="149" t="s">
        <v>121</v>
      </c>
      <c r="D39" s="149"/>
      <c r="E39" s="149"/>
      <c r="F39" s="149"/>
      <c r="G39" s="149"/>
      <c r="H39" s="30">
        <f>H27*H15*Hyp_communes!D7</f>
        <v>7560000</v>
      </c>
      <c r="I39" s="8" t="s">
        <v>118</v>
      </c>
      <c r="J39" s="153"/>
      <c r="K39" s="154"/>
    </row>
    <row r="40" spans="1:11" ht="38.25" customHeight="1">
      <c r="B40" s="31"/>
      <c r="C40" s="149" t="s">
        <v>122</v>
      </c>
      <c r="D40" s="149"/>
      <c r="E40" s="149"/>
      <c r="F40" s="149"/>
      <c r="G40" s="149"/>
      <c r="H40" s="30">
        <f>H28*H14</f>
        <v>9000000</v>
      </c>
      <c r="I40" s="8" t="s">
        <v>118</v>
      </c>
      <c r="J40" s="153"/>
      <c r="K40" s="154"/>
    </row>
    <row r="41" spans="1:11" ht="38.25" customHeight="1">
      <c r="B41" s="31"/>
      <c r="C41" s="149" t="s">
        <v>123</v>
      </c>
      <c r="D41" s="149"/>
      <c r="E41" s="149"/>
      <c r="F41" s="149"/>
      <c r="G41" s="149"/>
      <c r="H41" s="30">
        <f>H29*H17*Hyp_communes!D7</f>
        <v>90720000</v>
      </c>
      <c r="I41" s="8" t="s">
        <v>118</v>
      </c>
      <c r="J41" s="153"/>
      <c r="K41" s="154"/>
    </row>
    <row r="42" spans="1:11" ht="38.25" customHeight="1">
      <c r="B42" s="31"/>
      <c r="C42" s="149" t="s">
        <v>124</v>
      </c>
      <c r="D42" s="149"/>
      <c r="E42" s="149"/>
      <c r="F42" s="149"/>
      <c r="G42" s="149"/>
      <c r="H42" s="30">
        <v>10000000</v>
      </c>
      <c r="I42" s="8" t="s">
        <v>118</v>
      </c>
      <c r="J42" s="155" t="s">
        <v>125</v>
      </c>
      <c r="K42" s="156"/>
    </row>
  </sheetData>
  <mergeCells count="53">
    <mergeCell ref="C28:G28"/>
    <mergeCell ref="J28:K28"/>
    <mergeCell ref="C35:G35"/>
    <mergeCell ref="J35:K35"/>
    <mergeCell ref="C37:G37"/>
    <mergeCell ref="J37:K37"/>
    <mergeCell ref="C29:G29"/>
    <mergeCell ref="J29:K29"/>
    <mergeCell ref="C36:G36"/>
    <mergeCell ref="J36:K36"/>
    <mergeCell ref="J12:K12"/>
    <mergeCell ref="C17:G17"/>
    <mergeCell ref="J17:K17"/>
    <mergeCell ref="C26:G26"/>
    <mergeCell ref="J26:K26"/>
    <mergeCell ref="C12:G12"/>
    <mergeCell ref="C13:G13"/>
    <mergeCell ref="J13:K13"/>
    <mergeCell ref="C23:G23"/>
    <mergeCell ref="J23:K23"/>
    <mergeCell ref="C24:G24"/>
    <mergeCell ref="J15:K15"/>
    <mergeCell ref="C15:G15"/>
    <mergeCell ref="C14:G14"/>
    <mergeCell ref="J14:K14"/>
    <mergeCell ref="C16:G16"/>
    <mergeCell ref="C8:D8"/>
    <mergeCell ref="E6:G6"/>
    <mergeCell ref="B7:D7"/>
    <mergeCell ref="B6:D6"/>
    <mergeCell ref="A1:B1"/>
    <mergeCell ref="F7:G7"/>
    <mergeCell ref="F8:G8"/>
    <mergeCell ref="J16:K16"/>
    <mergeCell ref="C22:G22"/>
    <mergeCell ref="J22:K22"/>
    <mergeCell ref="C27:G27"/>
    <mergeCell ref="J27:K27"/>
    <mergeCell ref="J24:K24"/>
    <mergeCell ref="C25:G25"/>
    <mergeCell ref="J25:K25"/>
    <mergeCell ref="C41:G41"/>
    <mergeCell ref="J41:K41"/>
    <mergeCell ref="C30:G30"/>
    <mergeCell ref="J30:K30"/>
    <mergeCell ref="C42:G42"/>
    <mergeCell ref="J42:K42"/>
    <mergeCell ref="J38:K38"/>
    <mergeCell ref="C39:G39"/>
    <mergeCell ref="J39:K39"/>
    <mergeCell ref="C40:G40"/>
    <mergeCell ref="J40:K40"/>
    <mergeCell ref="C38:G38"/>
  </mergeCells>
  <hyperlinks>
    <hyperlink ref="A1" location="Sommaire!A1" display="Retour sommaire" xr:uid="{D91FE086-0D9B-4D69-81F5-6C692C9C2225}"/>
    <hyperlink ref="J17:K17" r:id="rId1" display="ADCF, 2020" xr:uid="{CAAD7AFC-4880-44AA-A1BE-FE817FAA54D5}"/>
    <hyperlink ref="J13:K13" r:id="rId2" display="MTE" xr:uid="{FF4D133D-14AD-4822-AB99-B5F46D6060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9D6D-F7F1-4457-BE05-E52EBA9EE5D5}">
  <sheetPr codeName="Feuil5">
    <tabColor theme="3" tint="0.79998168889431442"/>
  </sheetPr>
  <dimension ref="A1:V44"/>
  <sheetViews>
    <sheetView showGridLines="0" topLeftCell="B1" workbookViewId="0">
      <pane ySplit="2" topLeftCell="A3" activePane="bottomLeft" state="frozen"/>
      <selection pane="bottomLeft" activeCell="L27" sqref="L27"/>
      <selection activeCell="G31" sqref="G31"/>
    </sheetView>
  </sheetViews>
  <sheetFormatPr defaultColWidth="11" defaultRowHeight="15.75"/>
  <cols>
    <col min="1" max="1" width="1.625" customWidth="1"/>
    <col min="2" max="2" width="20.625" customWidth="1"/>
    <col min="3" max="6" width="19.125" style="14" customWidth="1"/>
    <col min="7" max="13" width="19.125" customWidth="1"/>
  </cols>
  <sheetData>
    <row r="1" spans="1:22" ht="21.75" customHeight="1">
      <c r="A1" s="166" t="s">
        <v>78</v>
      </c>
      <c r="B1" s="166"/>
    </row>
    <row r="2" spans="1:22" s="66" customFormat="1" ht="25.5" customHeight="1">
      <c r="A2" s="4" t="s">
        <v>14</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79.5" customHeight="1">
      <c r="B7" s="81">
        <f>H37</f>
        <v>2.5</v>
      </c>
      <c r="C7" s="164" t="s">
        <v>128</v>
      </c>
      <c r="D7" s="195"/>
      <c r="E7" s="69">
        <f>H21</f>
        <v>300</v>
      </c>
      <c r="F7" s="200" t="s">
        <v>129</v>
      </c>
      <c r="G7" s="201"/>
      <c r="H7" s="200" t="s">
        <v>130</v>
      </c>
      <c r="I7" s="202"/>
      <c r="J7" s="201"/>
      <c r="K7" s="69">
        <f>H28</f>
        <v>100</v>
      </c>
      <c r="L7" s="152" t="s">
        <v>131</v>
      </c>
      <c r="M7" s="152"/>
    </row>
    <row r="8" spans="1:22" s="68" customFormat="1" ht="79.5" customHeight="1">
      <c r="B8" s="84"/>
      <c r="C8" s="31"/>
      <c r="D8" s="31"/>
      <c r="E8" s="87">
        <f>H44</f>
        <v>1.5</v>
      </c>
      <c r="F8" s="203" t="s">
        <v>132</v>
      </c>
      <c r="G8" s="204"/>
      <c r="H8" s="85"/>
      <c r="I8" s="85"/>
      <c r="J8" s="85"/>
      <c r="K8" s="69">
        <f>H29</f>
        <v>14</v>
      </c>
      <c r="L8" s="194" t="s">
        <v>133</v>
      </c>
      <c r="M8" s="195"/>
    </row>
    <row r="9" spans="1:22" s="68" customFormat="1" ht="62.25" customHeight="1">
      <c r="B9"/>
      <c r="C9" s="162"/>
      <c r="D9" s="162"/>
      <c r="H9"/>
      <c r="I9" s="162"/>
      <c r="J9" s="162"/>
      <c r="K9" s="69">
        <f>H30</f>
        <v>75</v>
      </c>
      <c r="L9" s="194" t="s">
        <v>134</v>
      </c>
      <c r="M9" s="195"/>
    </row>
    <row r="11" spans="1:22" s="70" customFormat="1">
      <c r="B11" s="71" t="s">
        <v>87</v>
      </c>
      <c r="C11" s="72"/>
      <c r="D11" s="72"/>
      <c r="E11" s="72"/>
      <c r="F11" s="72"/>
    </row>
    <row r="13" spans="1:22" ht="21" customHeight="1">
      <c r="A13" s="1"/>
      <c r="B13" s="75"/>
      <c r="C13" s="151" t="s">
        <v>79</v>
      </c>
      <c r="D13" s="151"/>
      <c r="E13" s="151"/>
      <c r="F13" s="151"/>
      <c r="G13" s="151"/>
      <c r="H13" s="74" t="s">
        <v>80</v>
      </c>
      <c r="I13" s="74" t="s">
        <v>81</v>
      </c>
      <c r="J13" s="168" t="s">
        <v>88</v>
      </c>
      <c r="K13" s="169"/>
    </row>
    <row r="14" spans="1:22">
      <c r="A14" s="1"/>
      <c r="C14" s="173" t="s">
        <v>135</v>
      </c>
      <c r="D14" s="174"/>
      <c r="E14" s="174"/>
      <c r="F14" s="174"/>
      <c r="G14" s="175"/>
      <c r="H14" s="8">
        <v>12.5</v>
      </c>
      <c r="I14" s="8" t="s">
        <v>136</v>
      </c>
      <c r="J14" s="182" t="s">
        <v>137</v>
      </c>
      <c r="K14" s="183"/>
    </row>
    <row r="15" spans="1:22" ht="42" customHeight="1">
      <c r="A15" s="1"/>
      <c r="C15" s="184" t="s">
        <v>138</v>
      </c>
      <c r="D15" s="185"/>
      <c r="E15" s="185"/>
      <c r="F15" s="185"/>
      <c r="G15" s="186"/>
      <c r="H15" s="8">
        <v>5.0999999999999996</v>
      </c>
      <c r="I15" s="8" t="s">
        <v>136</v>
      </c>
      <c r="J15" s="189" t="s">
        <v>139</v>
      </c>
      <c r="K15" s="190"/>
    </row>
    <row r="16" spans="1:22" ht="38.25" customHeight="1">
      <c r="A16" s="1"/>
      <c r="C16" s="184" t="s">
        <v>140</v>
      </c>
      <c r="D16" s="187"/>
      <c r="E16" s="187"/>
      <c r="F16" s="187"/>
      <c r="G16" s="188"/>
      <c r="H16" s="8">
        <v>4.9000000000000004</v>
      </c>
      <c r="I16" s="8" t="s">
        <v>136</v>
      </c>
      <c r="J16" s="182" t="s">
        <v>141</v>
      </c>
      <c r="K16" s="183"/>
    </row>
    <row r="17" spans="1:11">
      <c r="A17" s="1"/>
      <c r="C17" s="184" t="s">
        <v>142</v>
      </c>
      <c r="D17" s="187"/>
      <c r="E17" s="187"/>
      <c r="F17" s="187"/>
      <c r="G17" s="188"/>
      <c r="H17" s="8">
        <v>0.85</v>
      </c>
      <c r="I17" s="8" t="s">
        <v>136</v>
      </c>
      <c r="J17" s="182" t="s">
        <v>141</v>
      </c>
      <c r="K17" s="183"/>
    </row>
    <row r="18" spans="1:11">
      <c r="A18" s="1"/>
      <c r="C18" s="177" t="s">
        <v>143</v>
      </c>
      <c r="D18" s="180"/>
      <c r="E18" s="180"/>
      <c r="F18" s="180"/>
      <c r="G18" s="181"/>
      <c r="H18" s="8">
        <v>100</v>
      </c>
      <c r="I18" s="8" t="s">
        <v>144</v>
      </c>
      <c r="J18" s="182" t="s">
        <v>145</v>
      </c>
      <c r="K18" s="183"/>
    </row>
    <row r="19" spans="1:11">
      <c r="A19" s="1"/>
      <c r="C19" s="173" t="s">
        <v>146</v>
      </c>
      <c r="D19" s="174"/>
      <c r="E19" s="174"/>
      <c r="F19" s="174"/>
      <c r="G19" s="175"/>
      <c r="H19" s="20">
        <v>400</v>
      </c>
      <c r="I19" s="8" t="s">
        <v>118</v>
      </c>
      <c r="J19" s="182" t="s">
        <v>147</v>
      </c>
      <c r="K19" s="183"/>
    </row>
    <row r="20" spans="1:11">
      <c r="A20" s="1"/>
      <c r="C20" s="177" t="s">
        <v>148</v>
      </c>
      <c r="D20" s="174"/>
      <c r="E20" s="174"/>
      <c r="F20" s="174"/>
      <c r="G20" s="175"/>
      <c r="H20" s="20">
        <v>150</v>
      </c>
      <c r="I20" s="8" t="s">
        <v>118</v>
      </c>
      <c r="J20" s="182" t="s">
        <v>147</v>
      </c>
      <c r="K20" s="183"/>
    </row>
    <row r="21" spans="1:11">
      <c r="A21" s="1"/>
      <c r="C21" s="177" t="s">
        <v>149</v>
      </c>
      <c r="D21" s="174"/>
      <c r="E21" s="174"/>
      <c r="F21" s="174"/>
      <c r="G21" s="175"/>
      <c r="H21" s="20">
        <v>300</v>
      </c>
      <c r="I21" s="8" t="s">
        <v>118</v>
      </c>
      <c r="J21" s="182" t="s">
        <v>147</v>
      </c>
      <c r="K21" s="183"/>
    </row>
    <row r="22" spans="1:11" ht="36" customHeight="1">
      <c r="A22" s="1"/>
      <c r="C22" s="177" t="s">
        <v>150</v>
      </c>
      <c r="D22" s="174"/>
      <c r="E22" s="174"/>
      <c r="F22" s="174"/>
      <c r="G22" s="175"/>
      <c r="H22" s="20">
        <v>600</v>
      </c>
      <c r="I22" s="8" t="s">
        <v>118</v>
      </c>
      <c r="J22" s="182" t="s">
        <v>151</v>
      </c>
      <c r="K22" s="183"/>
    </row>
    <row r="23" spans="1:11" ht="33.75" customHeight="1">
      <c r="A23" s="1"/>
      <c r="C23" s="177" t="s">
        <v>152</v>
      </c>
      <c r="D23" s="174"/>
      <c r="E23" s="174"/>
      <c r="F23" s="174"/>
      <c r="G23" s="175"/>
      <c r="H23" s="20">
        <v>680</v>
      </c>
      <c r="I23" s="8" t="s">
        <v>144</v>
      </c>
      <c r="J23" s="182" t="s">
        <v>151</v>
      </c>
      <c r="K23" s="183"/>
    </row>
    <row r="24" spans="1:11" ht="21" customHeight="1">
      <c r="A24" s="1"/>
      <c r="C24" s="177" t="s">
        <v>153</v>
      </c>
      <c r="D24" s="174"/>
      <c r="E24" s="174"/>
      <c r="F24" s="174"/>
      <c r="G24" s="175"/>
      <c r="H24" s="20">
        <v>90</v>
      </c>
      <c r="I24" s="8" t="s">
        <v>118</v>
      </c>
      <c r="J24" s="182" t="s">
        <v>154</v>
      </c>
      <c r="K24" s="183"/>
    </row>
    <row r="25" spans="1:11" ht="18" customHeight="1">
      <c r="A25" s="1"/>
      <c r="C25" s="177" t="s">
        <v>155</v>
      </c>
      <c r="D25" s="180"/>
      <c r="E25" s="180"/>
      <c r="F25" s="180"/>
      <c r="G25" s="181"/>
      <c r="H25" s="20">
        <v>100</v>
      </c>
      <c r="I25" s="8" t="s">
        <v>156</v>
      </c>
      <c r="J25" s="182" t="s">
        <v>157</v>
      </c>
      <c r="K25" s="183"/>
    </row>
    <row r="26" spans="1:11">
      <c r="A26" s="1"/>
      <c r="C26" s="177" t="s">
        <v>158</v>
      </c>
      <c r="D26" s="180"/>
      <c r="E26" s="180"/>
      <c r="F26" s="180"/>
      <c r="G26" s="181"/>
      <c r="H26" s="20">
        <v>150000</v>
      </c>
      <c r="I26" s="8" t="s">
        <v>83</v>
      </c>
      <c r="J26" s="182" t="s">
        <v>159</v>
      </c>
      <c r="K26" s="183"/>
    </row>
    <row r="27" spans="1:11">
      <c r="A27" s="1"/>
      <c r="C27" s="179" t="s">
        <v>160</v>
      </c>
      <c r="D27" s="149"/>
      <c r="E27" s="149"/>
      <c r="F27" s="149"/>
      <c r="G27" s="149"/>
      <c r="H27" s="20">
        <v>63</v>
      </c>
      <c r="I27" s="8" t="s">
        <v>156</v>
      </c>
      <c r="J27" s="182" t="s">
        <v>161</v>
      </c>
      <c r="K27" s="183"/>
    </row>
    <row r="28" spans="1:11">
      <c r="A28" s="1"/>
      <c r="C28" s="179" t="s">
        <v>162</v>
      </c>
      <c r="D28" s="179"/>
      <c r="E28" s="179"/>
      <c r="F28" s="179"/>
      <c r="G28" s="179"/>
      <c r="H28" s="20">
        <v>100</v>
      </c>
      <c r="I28" s="8" t="s">
        <v>118</v>
      </c>
      <c r="J28" s="178" t="s">
        <v>163</v>
      </c>
      <c r="K28" s="178"/>
    </row>
    <row r="29" spans="1:11">
      <c r="A29" s="1"/>
      <c r="C29" s="179" t="s">
        <v>133</v>
      </c>
      <c r="D29" s="179"/>
      <c r="E29" s="179"/>
      <c r="F29" s="179"/>
      <c r="G29" s="179"/>
      <c r="H29" s="20">
        <v>14</v>
      </c>
      <c r="I29" s="8" t="s">
        <v>118</v>
      </c>
      <c r="J29" s="178" t="s">
        <v>163</v>
      </c>
      <c r="K29" s="178"/>
    </row>
    <row r="30" spans="1:11">
      <c r="A30" s="1"/>
      <c r="C30" s="179" t="s">
        <v>134</v>
      </c>
      <c r="D30" s="179"/>
      <c r="E30" s="179"/>
      <c r="F30" s="179"/>
      <c r="G30" s="179"/>
      <c r="H30" s="20">
        <v>75</v>
      </c>
      <c r="I30" s="8" t="s">
        <v>118</v>
      </c>
      <c r="J30" s="178" t="s">
        <v>163</v>
      </c>
      <c r="K30" s="178"/>
    </row>
    <row r="31" spans="1:11">
      <c r="C31" s="177" t="s">
        <v>164</v>
      </c>
      <c r="D31" s="174"/>
      <c r="E31" s="174"/>
      <c r="F31" s="174"/>
      <c r="G31" s="175"/>
      <c r="H31" s="20" t="s">
        <v>165</v>
      </c>
      <c r="I31" s="8" t="s">
        <v>136</v>
      </c>
      <c r="J31" s="178" t="s">
        <v>166</v>
      </c>
      <c r="K31" s="178"/>
    </row>
    <row r="32" spans="1:11">
      <c r="A32" s="1"/>
      <c r="C32" s="15"/>
      <c r="D32" s="15"/>
      <c r="E32" s="15"/>
      <c r="F32" s="15"/>
      <c r="G32" s="7"/>
      <c r="H32" s="7"/>
      <c r="I32" s="7"/>
      <c r="J32" s="7"/>
      <c r="K32" s="7"/>
    </row>
    <row r="33" spans="1:11">
      <c r="A33" s="1"/>
    </row>
    <row r="34" spans="1:11" s="70" customFormat="1">
      <c r="B34" s="71" t="s">
        <v>100</v>
      </c>
      <c r="C34" s="72"/>
      <c r="D34" s="72"/>
      <c r="E34" s="72"/>
      <c r="F34" s="72"/>
    </row>
    <row r="35" spans="1:11">
      <c r="A35" s="1"/>
    </row>
    <row r="36" spans="1:11" ht="21" customHeight="1">
      <c r="A36" s="1"/>
      <c r="B36" s="75"/>
      <c r="C36" s="151" t="s">
        <v>79</v>
      </c>
      <c r="D36" s="151"/>
      <c r="E36" s="151"/>
      <c r="F36" s="151"/>
      <c r="G36" s="151"/>
      <c r="H36" s="74" t="s">
        <v>80</v>
      </c>
      <c r="I36" s="74" t="s">
        <v>81</v>
      </c>
      <c r="J36" s="159" t="s">
        <v>101</v>
      </c>
      <c r="K36" s="159"/>
    </row>
    <row r="37" spans="1:11">
      <c r="A37" s="1"/>
      <c r="C37" s="173" t="s">
        <v>167</v>
      </c>
      <c r="D37" s="174"/>
      <c r="E37" s="174"/>
      <c r="F37" s="174"/>
      <c r="G37" s="175"/>
      <c r="H37" s="8">
        <f>H14/5</f>
        <v>2.5</v>
      </c>
      <c r="I37" s="8" t="s">
        <v>168</v>
      </c>
      <c r="J37" s="192"/>
      <c r="K37" s="193"/>
    </row>
    <row r="38" spans="1:11" ht="15.75" customHeight="1">
      <c r="A38" s="1"/>
      <c r="C38" s="184" t="s">
        <v>169</v>
      </c>
      <c r="D38" s="187"/>
      <c r="E38" s="187"/>
      <c r="F38" s="187"/>
      <c r="G38" s="188"/>
      <c r="H38" s="8">
        <f>H16/5</f>
        <v>0.98000000000000009</v>
      </c>
      <c r="I38" s="8" t="s">
        <v>168</v>
      </c>
      <c r="J38" s="192"/>
      <c r="K38" s="193"/>
    </row>
    <row r="39" spans="1:11">
      <c r="A39" s="1"/>
    </row>
    <row r="40" spans="1:11" s="70" customFormat="1">
      <c r="B40" s="71" t="s">
        <v>116</v>
      </c>
      <c r="C40" s="72"/>
      <c r="D40" s="72"/>
      <c r="E40" s="72"/>
      <c r="F40" s="72"/>
    </row>
    <row r="43" spans="1:11" ht="21" customHeight="1">
      <c r="A43" s="1"/>
      <c r="B43" s="75"/>
      <c r="C43" s="151" t="s">
        <v>79</v>
      </c>
      <c r="D43" s="151"/>
      <c r="E43" s="151"/>
      <c r="F43" s="151"/>
      <c r="G43" s="151"/>
      <c r="H43" s="74" t="s">
        <v>80</v>
      </c>
      <c r="I43" s="74" t="s">
        <v>81</v>
      </c>
      <c r="J43" s="159" t="s">
        <v>101</v>
      </c>
      <c r="K43" s="159"/>
    </row>
    <row r="44" spans="1:11" ht="33" customHeight="1">
      <c r="B44" s="31"/>
      <c r="C44" s="149" t="s">
        <v>170</v>
      </c>
      <c r="D44" s="149"/>
      <c r="E44" s="149"/>
      <c r="F44" s="149"/>
      <c r="G44" s="149"/>
      <c r="H44" s="86">
        <f>H26*H25/10000000</f>
        <v>1.5</v>
      </c>
      <c r="I44" s="8" t="s">
        <v>118</v>
      </c>
      <c r="J44" s="191"/>
      <c r="K44" s="191"/>
    </row>
  </sheetData>
  <mergeCells count="62">
    <mergeCell ref="I9:J9"/>
    <mergeCell ref="L9:M9"/>
    <mergeCell ref="C13:G13"/>
    <mergeCell ref="J13:K13"/>
    <mergeCell ref="A1:B1"/>
    <mergeCell ref="B6:D6"/>
    <mergeCell ref="E6:G6"/>
    <mergeCell ref="H6:J6"/>
    <mergeCell ref="K6:M6"/>
    <mergeCell ref="C7:D7"/>
    <mergeCell ref="F7:G7"/>
    <mergeCell ref="L7:M7"/>
    <mergeCell ref="H7:J7"/>
    <mergeCell ref="L8:M8"/>
    <mergeCell ref="C9:D9"/>
    <mergeCell ref="F8:G8"/>
    <mergeCell ref="C43:G43"/>
    <mergeCell ref="J43:K43"/>
    <mergeCell ref="C44:G44"/>
    <mergeCell ref="J44:K44"/>
    <mergeCell ref="C36:G36"/>
    <mergeCell ref="J36:K36"/>
    <mergeCell ref="C37:G37"/>
    <mergeCell ref="J37:K37"/>
    <mergeCell ref="C38:G38"/>
    <mergeCell ref="J38:K38"/>
    <mergeCell ref="C26:G26"/>
    <mergeCell ref="J26:K26"/>
    <mergeCell ref="C27:G27"/>
    <mergeCell ref="C20:G20"/>
    <mergeCell ref="J20:K20"/>
    <mergeCell ref="C21:G21"/>
    <mergeCell ref="J21:K21"/>
    <mergeCell ref="J27:K27"/>
    <mergeCell ref="C25:G25"/>
    <mergeCell ref="J25:K25"/>
    <mergeCell ref="C22:G22"/>
    <mergeCell ref="J23:K23"/>
    <mergeCell ref="C23:G23"/>
    <mergeCell ref="C24:G24"/>
    <mergeCell ref="J24:K24"/>
    <mergeCell ref="J22:K22"/>
    <mergeCell ref="C18:G18"/>
    <mergeCell ref="J18:K18"/>
    <mergeCell ref="C19:G19"/>
    <mergeCell ref="J19:K19"/>
    <mergeCell ref="J14:K14"/>
    <mergeCell ref="C15:G15"/>
    <mergeCell ref="C16:G16"/>
    <mergeCell ref="J16:K16"/>
    <mergeCell ref="C14:G14"/>
    <mergeCell ref="J15:K15"/>
    <mergeCell ref="C17:G17"/>
    <mergeCell ref="J17:K17"/>
    <mergeCell ref="C31:G31"/>
    <mergeCell ref="J31:K31"/>
    <mergeCell ref="J28:K28"/>
    <mergeCell ref="C29:G29"/>
    <mergeCell ref="J29:K29"/>
    <mergeCell ref="C30:G30"/>
    <mergeCell ref="J30:K30"/>
    <mergeCell ref="C28:G28"/>
  </mergeCells>
  <hyperlinks>
    <hyperlink ref="A1" location="Sommaire!A1" display="Retour sommaire" xr:uid="{2CCE9511-8F09-47BD-AC62-46123262C292}"/>
    <hyperlink ref="J19:K19" r:id="rId1" display="Comité pour l'économie verte, 2022" xr:uid="{E05E8607-7F8E-4250-BAF2-3A7125A52FE5}"/>
    <hyperlink ref="J20:K20" r:id="rId2" display="Comité pour l'économie verte, 2022" xr:uid="{067B6001-2CE8-4AB3-8F91-7EEEB8F98F20}"/>
    <hyperlink ref="J21:K21" r:id="rId3" display="Comité pour l'économie verte, 2022" xr:uid="{BA0794A1-D883-411D-9675-C9086616F752}"/>
    <hyperlink ref="J18:K18" r:id="rId4" display="MAA, 2022" xr:uid="{EC809806-444D-42D1-9957-368F297CD613}"/>
    <hyperlink ref="J27:K27" r:id="rId5" display="MTE 2021, p.63" xr:uid="{5093860F-FEBB-4A46-A5E0-7ADA7C72C112}"/>
    <hyperlink ref="J26:K26" r:id="rId6" display="Exemple" xr:uid="{3B1EEBA7-DEC1-47B2-8F2B-F25B3C342F6C}"/>
    <hyperlink ref="J28:K28" r:id="rId7" display="CGAER 2017, 34" xr:uid="{3DBADEF4-78DD-4B1C-9531-24F671807F58}"/>
    <hyperlink ref="J24:K24" r:id="rId8" display="CGAER 2015, p.32" xr:uid="{73239A25-040E-4C40-8275-FAFE31870E2B}"/>
    <hyperlink ref="J14:K14" r:id="rId9" display="Agences de l'eau, 2019" xr:uid="{37C5FC36-21A6-434F-93DE-251DB2A1CD85}"/>
    <hyperlink ref="J22:K22" r:id="rId10" display="Gouvernement, 2022, 24" xr:uid="{8FA6EF13-CA35-AC46-8641-43929FB976B7}"/>
    <hyperlink ref="J23:K23" r:id="rId11" display="Gouvernement, 2022, 24" xr:uid="{19BEDB2E-6663-9F4E-9D8E-DAEBF411F4B4}"/>
    <hyperlink ref="J15:K15" r:id="rId12" display="MTES 2019, 12" xr:uid="{5FFFFE10-91F2-B449-965C-F7E117929BA5}"/>
    <hyperlink ref="J16:K16" r:id="rId13" display="IGF et CGEDD 2018, 18" xr:uid="{2CC76390-4995-F74A-BE72-AF4423E28F2E}"/>
    <hyperlink ref="J17:K17" r:id="rId14" display="IGF et CGEDD 2018, 18" xr:uid="{F1D13DD3-0A98-DD45-B918-E12EC820F9C8}"/>
    <hyperlink ref="J25:K25" r:id="rId15" display="Gouvernement 2019" xr:uid="{F45C387B-AF1B-FF42-8F72-72C4793BB789}"/>
    <hyperlink ref="J29:K29" r:id="rId16" display="CGAER 2017, 34" xr:uid="{DB759897-192C-2F44-BA81-A2A0DF94DC1B}"/>
    <hyperlink ref="J30:K30" r:id="rId17" display="CGAER 2017, 34" xr:uid="{C1A0EB0E-F396-794E-BB4B-BDA3CBFABA00}"/>
  </hyperlinks>
  <pageMargins left="0.7" right="0.7" top="0.75" bottom="0.75" header="0.3" footer="0.3"/>
  <legacyDrawing r:id="rId1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F28FA-1BE3-473F-87EA-C8347D417C17}">
  <sheetPr codeName="Feuil6">
    <tabColor theme="3" tint="0.79998168889431442"/>
  </sheetPr>
  <dimension ref="A1:V36"/>
  <sheetViews>
    <sheetView showGridLines="0" workbookViewId="0">
      <pane ySplit="2" topLeftCell="A3" activePane="bottomLeft" state="frozen"/>
      <selection pane="bottomLeft" activeCell="J14" sqref="J14:K14"/>
      <selection activeCell="G31" sqref="G31"/>
    </sheetView>
  </sheetViews>
  <sheetFormatPr defaultColWidth="11" defaultRowHeight="15.75"/>
  <cols>
    <col min="1" max="1" width="1.625" customWidth="1"/>
    <col min="2" max="2" width="20.625" customWidth="1"/>
    <col min="3" max="6" width="19.125" style="14" customWidth="1"/>
    <col min="7" max="13" width="19.125" customWidth="1"/>
  </cols>
  <sheetData>
    <row r="1" spans="1:22" ht="21.75" customHeight="1">
      <c r="A1" s="166" t="s">
        <v>78</v>
      </c>
      <c r="B1" s="166"/>
    </row>
    <row r="2" spans="1:22" s="66" customFormat="1" ht="25.5" customHeight="1">
      <c r="A2" s="4" t="s">
        <v>17</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91.5" customHeight="1">
      <c r="B7" s="164" t="s">
        <v>171</v>
      </c>
      <c r="C7" s="217"/>
      <c r="D7" s="195"/>
      <c r="E7" s="93">
        <f>SUM(H33:H36)</f>
        <v>2.5200000000000005</v>
      </c>
      <c r="F7" s="200" t="s">
        <v>172</v>
      </c>
      <c r="G7" s="201"/>
      <c r="H7" s="200" t="s">
        <v>173</v>
      </c>
      <c r="I7" s="202"/>
      <c r="J7" s="201"/>
      <c r="K7" s="93" t="str">
        <f>H16</f>
        <v>22 à 27 Mds€</v>
      </c>
      <c r="L7" s="152" t="s">
        <v>174</v>
      </c>
      <c r="M7" s="152"/>
    </row>
    <row r="8" spans="1:22" s="68" customFormat="1" ht="62.25" customHeight="1">
      <c r="B8" s="84"/>
      <c r="C8" s="31"/>
      <c r="D8" s="31"/>
      <c r="E8" s="84"/>
      <c r="F8" s="31"/>
      <c r="G8" s="31"/>
      <c r="H8" s="200" t="s">
        <v>175</v>
      </c>
      <c r="I8" s="202"/>
      <c r="J8" s="20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c r="A13" s="1"/>
      <c r="C13" s="149" t="s">
        <v>176</v>
      </c>
      <c r="D13" s="149"/>
      <c r="E13" s="149"/>
      <c r="F13" s="149"/>
      <c r="G13" s="149"/>
      <c r="H13" s="18">
        <v>200</v>
      </c>
      <c r="I13" s="8" t="s">
        <v>118</v>
      </c>
      <c r="J13" s="157" t="s">
        <v>177</v>
      </c>
      <c r="K13" s="158"/>
    </row>
    <row r="14" spans="1:22">
      <c r="A14" s="1"/>
      <c r="C14" s="215" t="s">
        <v>178</v>
      </c>
      <c r="D14" s="216"/>
      <c r="E14" s="216"/>
      <c r="F14" s="216"/>
      <c r="G14" s="216"/>
      <c r="H14" s="18">
        <v>154</v>
      </c>
      <c r="I14" s="8" t="s">
        <v>118</v>
      </c>
      <c r="J14" s="157" t="s">
        <v>177</v>
      </c>
      <c r="K14" s="158"/>
    </row>
    <row r="15" spans="1:22">
      <c r="A15" s="1"/>
      <c r="C15" s="215" t="s">
        <v>179</v>
      </c>
      <c r="D15" s="216"/>
      <c r="E15" s="216"/>
      <c r="F15" s="216"/>
      <c r="G15" s="216"/>
      <c r="H15" s="18">
        <v>26</v>
      </c>
      <c r="I15" s="8" t="s">
        <v>118</v>
      </c>
      <c r="J15" s="157" t="s">
        <v>177</v>
      </c>
      <c r="K15" s="158"/>
    </row>
    <row r="16" spans="1:22" ht="36.75" customHeight="1">
      <c r="A16" s="1"/>
      <c r="C16" s="215" t="s">
        <v>180</v>
      </c>
      <c r="D16" s="216"/>
      <c r="E16" s="216"/>
      <c r="F16" s="216"/>
      <c r="G16" s="216"/>
      <c r="H16" s="18" t="s">
        <v>181</v>
      </c>
      <c r="I16" s="8"/>
      <c r="J16" s="157" t="s">
        <v>182</v>
      </c>
      <c r="K16" s="158"/>
    </row>
    <row r="17" spans="1:11" ht="36.75" customHeight="1">
      <c r="A17" s="1"/>
      <c r="C17" s="82"/>
      <c r="D17" s="94"/>
      <c r="E17" s="94"/>
      <c r="F17" s="94"/>
      <c r="G17" s="94"/>
      <c r="H17" s="77"/>
      <c r="I17" s="33"/>
      <c r="J17" s="95"/>
      <c r="K17" s="95"/>
    </row>
    <row r="18" spans="1:11">
      <c r="A18" s="1"/>
    </row>
    <row r="19" spans="1:11" s="70" customFormat="1">
      <c r="B19" s="71" t="s">
        <v>100</v>
      </c>
      <c r="C19" s="72"/>
      <c r="D19" s="72"/>
      <c r="E19" s="72"/>
      <c r="F19" s="72"/>
    </row>
    <row r="20" spans="1:11">
      <c r="A20" s="1"/>
    </row>
    <row r="21" spans="1:11" ht="21" customHeight="1">
      <c r="A21" s="1"/>
      <c r="B21" s="75"/>
      <c r="C21" s="151" t="s">
        <v>79</v>
      </c>
      <c r="D21" s="151"/>
      <c r="E21" s="151"/>
      <c r="F21" s="151"/>
      <c r="G21" s="151"/>
      <c r="H21" s="74" t="s">
        <v>80</v>
      </c>
      <c r="I21" s="74" t="s">
        <v>81</v>
      </c>
      <c r="J21" s="159" t="s">
        <v>101</v>
      </c>
      <c r="K21" s="159"/>
    </row>
    <row r="22" spans="1:11" ht="34.5" customHeight="1">
      <c r="A22" s="1"/>
      <c r="C22" s="149" t="s">
        <v>183</v>
      </c>
      <c r="D22" s="149"/>
      <c r="E22" s="149"/>
      <c r="F22" s="149"/>
      <c r="G22" s="149"/>
      <c r="H22" s="12">
        <v>1</v>
      </c>
      <c r="I22" s="8" t="s">
        <v>105</v>
      </c>
      <c r="J22" s="208" t="s">
        <v>184</v>
      </c>
      <c r="K22" s="209"/>
    </row>
    <row r="23" spans="1:11" ht="34.5" customHeight="1">
      <c r="A23" s="1"/>
      <c r="C23" s="149" t="s">
        <v>185</v>
      </c>
      <c r="D23" s="149"/>
      <c r="E23" s="149"/>
      <c r="F23" s="149"/>
      <c r="G23" s="149"/>
      <c r="H23" s="17">
        <v>6</v>
      </c>
      <c r="I23" s="10" t="s">
        <v>186</v>
      </c>
      <c r="J23" s="210"/>
      <c r="K23" s="211"/>
    </row>
    <row r="24" spans="1:11" ht="34.5" customHeight="1">
      <c r="A24" s="1"/>
      <c r="C24" s="149" t="s">
        <v>187</v>
      </c>
      <c r="D24" s="149"/>
      <c r="E24" s="149"/>
      <c r="F24" s="149"/>
      <c r="G24" s="149"/>
      <c r="H24" s="17">
        <v>200000</v>
      </c>
      <c r="I24" s="10" t="s">
        <v>188</v>
      </c>
      <c r="J24" s="212"/>
      <c r="K24" s="213"/>
    </row>
    <row r="25" spans="1:11" ht="75.75" customHeight="1">
      <c r="A25" s="1"/>
      <c r="C25" s="205" t="s">
        <v>189</v>
      </c>
      <c r="D25" s="149"/>
      <c r="E25" s="149"/>
      <c r="F25" s="149"/>
      <c r="G25" s="149"/>
      <c r="H25" s="17">
        <v>17</v>
      </c>
      <c r="I25" s="10" t="s">
        <v>105</v>
      </c>
      <c r="J25" s="206" t="s">
        <v>190</v>
      </c>
      <c r="K25" s="207"/>
    </row>
    <row r="26" spans="1:11" ht="139.5" customHeight="1">
      <c r="A26" s="1"/>
      <c r="C26" s="205" t="s">
        <v>191</v>
      </c>
      <c r="D26" s="149"/>
      <c r="E26" s="149"/>
      <c r="F26" s="149"/>
      <c r="G26" s="149"/>
      <c r="H26" s="17">
        <v>2</v>
      </c>
      <c r="I26" s="10" t="s">
        <v>105</v>
      </c>
      <c r="J26" s="206" t="s">
        <v>192</v>
      </c>
      <c r="K26" s="207"/>
    </row>
    <row r="27" spans="1:11" ht="58.5" customHeight="1">
      <c r="A27" s="1"/>
      <c r="C27" s="205" t="s">
        <v>193</v>
      </c>
      <c r="D27" s="149"/>
      <c r="E27" s="149"/>
      <c r="F27" s="149"/>
      <c r="G27" s="149"/>
      <c r="H27" s="17">
        <v>2</v>
      </c>
      <c r="I27" s="10" t="s">
        <v>105</v>
      </c>
      <c r="J27" s="206" t="s">
        <v>194</v>
      </c>
      <c r="K27" s="207"/>
    </row>
    <row r="28" spans="1:11">
      <c r="A28" s="1"/>
    </row>
    <row r="29" spans="1:11" s="70" customFormat="1">
      <c r="B29" s="71" t="s">
        <v>116</v>
      </c>
      <c r="C29" s="72"/>
      <c r="D29" s="72"/>
      <c r="E29" s="72"/>
      <c r="F29" s="72"/>
    </row>
    <row r="32" spans="1:11" ht="21" customHeight="1">
      <c r="A32" s="1"/>
      <c r="B32" s="75"/>
      <c r="C32" s="151" t="s">
        <v>79</v>
      </c>
      <c r="D32" s="151"/>
      <c r="E32" s="151"/>
      <c r="F32" s="151"/>
      <c r="G32" s="151"/>
      <c r="H32" s="74" t="s">
        <v>80</v>
      </c>
      <c r="I32" s="74" t="s">
        <v>81</v>
      </c>
      <c r="J32" s="159" t="s">
        <v>101</v>
      </c>
      <c r="K32" s="159"/>
    </row>
    <row r="33" spans="2:11" s="29" customFormat="1" ht="66" customHeight="1">
      <c r="B33" s="88"/>
      <c r="C33" s="214" t="s">
        <v>195</v>
      </c>
      <c r="D33" s="214"/>
      <c r="E33" s="214"/>
      <c r="F33" s="214"/>
      <c r="G33" s="214"/>
      <c r="H33" s="89">
        <f>(H24*H23+H22*Hyp_communes!D7)/1000000</f>
        <v>1.26</v>
      </c>
      <c r="I33" s="43" t="s">
        <v>118</v>
      </c>
      <c r="J33" s="153"/>
      <c r="K33" s="154"/>
    </row>
    <row r="34" spans="2:11" s="29" customFormat="1" ht="63" customHeight="1">
      <c r="B34" s="88"/>
      <c r="C34" s="214" t="s">
        <v>196</v>
      </c>
      <c r="D34" s="214"/>
      <c r="E34" s="214"/>
      <c r="F34" s="214"/>
      <c r="G34" s="214"/>
      <c r="H34" s="89">
        <f>H25*Hyp_communes!D7/1000000</f>
        <v>1.02</v>
      </c>
      <c r="I34" s="43" t="s">
        <v>118</v>
      </c>
      <c r="J34" s="153"/>
      <c r="K34" s="154"/>
    </row>
    <row r="35" spans="2:11" s="29" customFormat="1" ht="66" customHeight="1">
      <c r="B35" s="88"/>
      <c r="C35" s="214" t="s">
        <v>197</v>
      </c>
      <c r="D35" s="214"/>
      <c r="E35" s="214"/>
      <c r="F35" s="214"/>
      <c r="G35" s="214"/>
      <c r="H35" s="89">
        <f>H26*Hyp_communes!D7/1000000</f>
        <v>0.12</v>
      </c>
      <c r="I35" s="43" t="s">
        <v>118</v>
      </c>
      <c r="J35" s="153"/>
      <c r="K35" s="154"/>
    </row>
    <row r="36" spans="2:11" s="29" customFormat="1" ht="66" customHeight="1">
      <c r="B36" s="88"/>
      <c r="C36" s="214" t="s">
        <v>198</v>
      </c>
      <c r="D36" s="214"/>
      <c r="E36" s="214"/>
      <c r="F36" s="214"/>
      <c r="G36" s="214"/>
      <c r="H36" s="89">
        <f>H27*Hyp_communes!D7/1000000</f>
        <v>0.12</v>
      </c>
      <c r="I36" s="43" t="s">
        <v>118</v>
      </c>
      <c r="J36" s="153"/>
      <c r="K36" s="154"/>
    </row>
  </sheetData>
  <mergeCells count="42">
    <mergeCell ref="L7:M7"/>
    <mergeCell ref="A1:B1"/>
    <mergeCell ref="B6:D6"/>
    <mergeCell ref="E6:G6"/>
    <mergeCell ref="H6:J6"/>
    <mergeCell ref="K6:M6"/>
    <mergeCell ref="H7:J7"/>
    <mergeCell ref="B7:D7"/>
    <mergeCell ref="C21:G21"/>
    <mergeCell ref="J21:K21"/>
    <mergeCell ref="C16:G16"/>
    <mergeCell ref="J16:K16"/>
    <mergeCell ref="C12:G12"/>
    <mergeCell ref="J12:K12"/>
    <mergeCell ref="C14:G14"/>
    <mergeCell ref="J14:K14"/>
    <mergeCell ref="C15:G15"/>
    <mergeCell ref="J15:K15"/>
    <mergeCell ref="H8:J8"/>
    <mergeCell ref="C13:G13"/>
    <mergeCell ref="J13:K13"/>
    <mergeCell ref="F7:G7"/>
    <mergeCell ref="C36:G36"/>
    <mergeCell ref="J36:K36"/>
    <mergeCell ref="C27:G27"/>
    <mergeCell ref="J27:K27"/>
    <mergeCell ref="C34:G34"/>
    <mergeCell ref="J34:K34"/>
    <mergeCell ref="C35:G35"/>
    <mergeCell ref="J35:K35"/>
    <mergeCell ref="C32:G32"/>
    <mergeCell ref="J32:K32"/>
    <mergeCell ref="C33:G33"/>
    <mergeCell ref="J33:K33"/>
    <mergeCell ref="C25:G25"/>
    <mergeCell ref="J25:K25"/>
    <mergeCell ref="J22:K24"/>
    <mergeCell ref="C26:G26"/>
    <mergeCell ref="J26:K26"/>
    <mergeCell ref="C22:G22"/>
    <mergeCell ref="C23:G23"/>
    <mergeCell ref="C24:G24"/>
  </mergeCells>
  <hyperlinks>
    <hyperlink ref="A1" location="Sommaire!A1" display="Retour sommaire" xr:uid="{62DB7542-2088-40B6-8071-A4B104A1DCC1}"/>
    <hyperlink ref="J13:K16" r:id="rId1" display="Gouvernement. 2021" xr:uid="{AB9A0739-C0C6-429D-B37B-8D2DF704A671}"/>
    <hyperlink ref="J16:K16" r:id="rId2" display="Santé Publique France. 2021" xr:uid="{8864F3EA-2DF1-4AC2-AC3C-65E9E8BB237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F3030-29FF-41DE-895C-AE55DD934E17}">
  <sheetPr codeName="Feuil19">
    <tabColor theme="3" tint="0.79998168889431442"/>
  </sheetPr>
  <dimension ref="A1:V39"/>
  <sheetViews>
    <sheetView showGridLines="0" topLeftCell="B1" workbookViewId="0">
      <pane ySplit="2" topLeftCell="A7" activePane="bottomLeft" state="frozen"/>
      <selection pane="bottomLeft" activeCell="J14" sqref="J14:K15"/>
      <selection activeCell="G31" sqref="G31"/>
    </sheetView>
  </sheetViews>
  <sheetFormatPr defaultColWidth="11" defaultRowHeight="15.75"/>
  <cols>
    <col min="1" max="1" width="1.625" customWidth="1"/>
    <col min="2" max="2" width="20.625" customWidth="1"/>
    <col min="3" max="6" width="19.125" style="14" customWidth="1"/>
    <col min="7" max="13" width="19.125" customWidth="1"/>
  </cols>
  <sheetData>
    <row r="1" spans="1:22" ht="21.75" customHeight="1">
      <c r="A1" s="166" t="s">
        <v>78</v>
      </c>
      <c r="B1" s="166"/>
    </row>
    <row r="2" spans="1:22" s="66" customFormat="1" ht="25.5" customHeight="1">
      <c r="A2" s="4" t="s">
        <v>20</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66.75" customHeight="1">
      <c r="B7" s="81">
        <f>H14</f>
        <v>5.16</v>
      </c>
      <c r="C7" s="222" t="s">
        <v>199</v>
      </c>
      <c r="D7" s="223"/>
      <c r="E7" s="69">
        <f>H35</f>
        <v>115</v>
      </c>
      <c r="F7" s="200" t="s">
        <v>200</v>
      </c>
      <c r="G7" s="201"/>
      <c r="H7" s="200" t="s">
        <v>201</v>
      </c>
      <c r="I7" s="202"/>
      <c r="J7" s="201"/>
      <c r="K7" s="224" t="s">
        <v>202</v>
      </c>
      <c r="L7" s="225"/>
      <c r="M7" s="226"/>
    </row>
    <row r="8" spans="1:22" s="68" customFormat="1" ht="62.25" customHeight="1">
      <c r="B8" s="97">
        <f>H15</f>
        <v>575</v>
      </c>
      <c r="C8" s="164" t="s">
        <v>203</v>
      </c>
      <c r="D8" s="195"/>
      <c r="E8" s="84"/>
      <c r="F8" s="31"/>
      <c r="G8" s="3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ht="15.75" customHeight="1">
      <c r="A13" s="1"/>
      <c r="C13" s="173" t="s">
        <v>204</v>
      </c>
      <c r="D13" s="174"/>
      <c r="E13" s="174"/>
      <c r="F13" s="174"/>
      <c r="G13" s="175"/>
      <c r="H13" s="19">
        <v>1.3</v>
      </c>
      <c r="I13" s="8" t="s">
        <v>168</v>
      </c>
      <c r="J13" s="218" t="s">
        <v>205</v>
      </c>
      <c r="K13" s="219"/>
    </row>
    <row r="14" spans="1:22" ht="33.75" customHeight="1">
      <c r="A14" s="1"/>
      <c r="C14" s="173" t="s">
        <v>206</v>
      </c>
      <c r="D14" s="174"/>
      <c r="E14" s="174"/>
      <c r="F14" s="174"/>
      <c r="G14" s="175"/>
      <c r="H14" s="22">
        <v>5.16</v>
      </c>
      <c r="I14" s="8" t="s">
        <v>168</v>
      </c>
      <c r="J14" s="218" t="s">
        <v>207</v>
      </c>
      <c r="K14" s="219"/>
    </row>
    <row r="15" spans="1:22" ht="23.25" customHeight="1">
      <c r="A15" s="1"/>
      <c r="C15" s="227" t="s">
        <v>208</v>
      </c>
      <c r="D15" s="228"/>
      <c r="E15" s="228"/>
      <c r="F15" s="228"/>
      <c r="G15" s="229"/>
      <c r="H15" s="16">
        <v>575</v>
      </c>
      <c r="I15" s="8" t="s">
        <v>118</v>
      </c>
      <c r="J15" s="218" t="s">
        <v>209</v>
      </c>
      <c r="K15" s="219"/>
    </row>
    <row r="16" spans="1:22">
      <c r="A16" s="1"/>
      <c r="C16" s="173" t="s">
        <v>210</v>
      </c>
      <c r="D16" s="174"/>
      <c r="E16" s="174"/>
      <c r="F16" s="174"/>
      <c r="G16" s="175"/>
      <c r="H16" s="8">
        <f>0.2*500</f>
        <v>100</v>
      </c>
      <c r="I16" s="10" t="s">
        <v>118</v>
      </c>
      <c r="J16" s="170" t="s">
        <v>211</v>
      </c>
      <c r="K16" s="171"/>
    </row>
    <row r="17" spans="1:11" ht="32.25" customHeight="1">
      <c r="A17" s="1"/>
      <c r="C17" s="173" t="s">
        <v>212</v>
      </c>
      <c r="D17" s="174"/>
      <c r="E17" s="174"/>
      <c r="F17" s="174"/>
      <c r="G17" s="175"/>
      <c r="H17" s="8">
        <v>1.5</v>
      </c>
      <c r="I17" s="10" t="s">
        <v>118</v>
      </c>
      <c r="J17" s="218" t="s">
        <v>213</v>
      </c>
      <c r="K17" s="219"/>
    </row>
    <row r="18" spans="1:11" ht="50.25" customHeight="1">
      <c r="A18" s="1"/>
      <c r="C18" s="173" t="s">
        <v>214</v>
      </c>
      <c r="D18" s="174"/>
      <c r="E18" s="174"/>
      <c r="F18" s="174"/>
      <c r="G18" s="175"/>
      <c r="H18" s="8">
        <v>15</v>
      </c>
      <c r="I18" s="10" t="s">
        <v>118</v>
      </c>
      <c r="J18" s="218" t="s">
        <v>215</v>
      </c>
      <c r="K18" s="219"/>
    </row>
    <row r="19" spans="1:11" ht="38.25" customHeight="1">
      <c r="A19" s="1"/>
      <c r="C19" s="173" t="s">
        <v>216</v>
      </c>
      <c r="D19" s="174"/>
      <c r="E19" s="174"/>
      <c r="F19" s="174"/>
      <c r="G19" s="175"/>
      <c r="H19" s="19">
        <v>370</v>
      </c>
      <c r="I19" s="8" t="s">
        <v>118</v>
      </c>
      <c r="J19" s="218" t="s">
        <v>205</v>
      </c>
      <c r="K19" s="219"/>
    </row>
    <row r="20" spans="1:11" ht="38.25" customHeight="1">
      <c r="A20" s="1"/>
      <c r="C20" s="173" t="s">
        <v>217</v>
      </c>
      <c r="D20" s="174"/>
      <c r="E20" s="174"/>
      <c r="F20" s="174"/>
      <c r="G20" s="175"/>
      <c r="H20" s="19">
        <v>30</v>
      </c>
      <c r="I20" s="8" t="s">
        <v>144</v>
      </c>
      <c r="J20" s="218" t="s">
        <v>218</v>
      </c>
      <c r="K20" s="219"/>
    </row>
    <row r="21" spans="1:11" ht="38.25" customHeight="1">
      <c r="A21" s="1"/>
      <c r="C21" s="173" t="s">
        <v>219</v>
      </c>
      <c r="D21" s="174"/>
      <c r="E21" s="174"/>
      <c r="F21" s="174"/>
      <c r="G21" s="175"/>
      <c r="H21" s="19">
        <v>1.9</v>
      </c>
      <c r="I21" s="8" t="s">
        <v>136</v>
      </c>
      <c r="J21" s="218" t="s">
        <v>220</v>
      </c>
      <c r="K21" s="219"/>
    </row>
    <row r="22" spans="1:11" ht="58.5" customHeight="1">
      <c r="A22" s="1"/>
      <c r="C22" s="173" t="s">
        <v>221</v>
      </c>
      <c r="D22" s="174"/>
      <c r="E22" s="174"/>
      <c r="F22" s="174"/>
      <c r="G22" s="175"/>
      <c r="H22" s="19">
        <v>90</v>
      </c>
      <c r="I22" s="8" t="s">
        <v>144</v>
      </c>
      <c r="J22" s="218" t="s">
        <v>222</v>
      </c>
      <c r="K22" s="219"/>
    </row>
    <row r="23" spans="1:11">
      <c r="A23" s="1"/>
      <c r="C23" s="15"/>
      <c r="D23" s="15"/>
      <c r="E23" s="15"/>
      <c r="F23" s="15"/>
      <c r="G23" s="7"/>
      <c r="H23" s="7"/>
      <c r="I23" s="7"/>
      <c r="J23" s="7"/>
      <c r="K23" s="7"/>
    </row>
    <row r="24" spans="1:11">
      <c r="A24" s="1"/>
    </row>
    <row r="25" spans="1:11" s="70" customFormat="1">
      <c r="B25" s="71" t="s">
        <v>100</v>
      </c>
      <c r="C25" s="72"/>
      <c r="D25" s="72"/>
      <c r="E25" s="72"/>
      <c r="F25" s="72"/>
    </row>
    <row r="26" spans="1:11">
      <c r="A26" s="1"/>
    </row>
    <row r="27" spans="1:11" ht="21" customHeight="1">
      <c r="A27" s="1"/>
      <c r="B27" s="75"/>
      <c r="C27" s="151" t="s">
        <v>79</v>
      </c>
      <c r="D27" s="151"/>
      <c r="E27" s="151"/>
      <c r="F27" s="151"/>
      <c r="G27" s="151"/>
      <c r="H27" s="74" t="s">
        <v>80</v>
      </c>
      <c r="I27" s="74" t="s">
        <v>81</v>
      </c>
      <c r="J27" s="159" t="s">
        <v>101</v>
      </c>
      <c r="K27" s="159"/>
    </row>
    <row r="28" spans="1:11" ht="34.5" customHeight="1">
      <c r="A28" s="1"/>
      <c r="C28" s="220"/>
      <c r="D28" s="221"/>
      <c r="E28" s="221"/>
      <c r="F28" s="221"/>
      <c r="G28" s="221"/>
      <c r="H28" s="79"/>
      <c r="I28" s="42"/>
      <c r="J28" s="153"/>
      <c r="K28" s="154"/>
    </row>
    <row r="29" spans="1:11">
      <c r="A29" s="1"/>
    </row>
    <row r="30" spans="1:11">
      <c r="A30" s="1"/>
    </row>
    <row r="31" spans="1:11" s="70" customFormat="1">
      <c r="B31" s="71" t="s">
        <v>116</v>
      </c>
      <c r="C31" s="72"/>
      <c r="D31" s="72"/>
      <c r="E31" s="72"/>
      <c r="F31" s="72"/>
    </row>
    <row r="34" spans="1:22" ht="21" customHeight="1">
      <c r="A34" s="1"/>
      <c r="B34" s="75"/>
      <c r="C34" s="151" t="s">
        <v>79</v>
      </c>
      <c r="D34" s="151"/>
      <c r="E34" s="151"/>
      <c r="F34" s="151"/>
      <c r="G34" s="151"/>
      <c r="H34" s="74" t="s">
        <v>80</v>
      </c>
      <c r="I34" s="74" t="s">
        <v>81</v>
      </c>
      <c r="J34" s="159" t="s">
        <v>101</v>
      </c>
      <c r="K34" s="159"/>
    </row>
    <row r="35" spans="1:22" ht="62.25" customHeight="1">
      <c r="B35" s="31"/>
      <c r="C35" s="149" t="s">
        <v>223</v>
      </c>
      <c r="D35" s="149"/>
      <c r="E35" s="149"/>
      <c r="F35" s="149"/>
      <c r="G35" s="149"/>
      <c r="H35" s="8">
        <f>H16+H18</f>
        <v>115</v>
      </c>
      <c r="I35" s="8" t="s">
        <v>224</v>
      </c>
      <c r="J35" s="153"/>
      <c r="K35" s="154"/>
    </row>
    <row r="36" spans="1:22">
      <c r="B36" s="31"/>
      <c r="C36" s="149"/>
      <c r="D36" s="149"/>
      <c r="E36" s="149"/>
      <c r="F36" s="149"/>
      <c r="G36" s="149"/>
      <c r="H36" s="30"/>
      <c r="I36" s="8"/>
      <c r="J36" s="153"/>
      <c r="K36" s="154"/>
    </row>
    <row r="37" spans="1:22">
      <c r="B37" s="31"/>
      <c r="C37" s="149"/>
      <c r="D37" s="149"/>
      <c r="E37" s="149"/>
      <c r="F37" s="149"/>
      <c r="G37" s="149"/>
      <c r="H37" s="30"/>
      <c r="I37" s="8"/>
      <c r="J37" s="153"/>
      <c r="K37" s="154"/>
    </row>
    <row r="38" spans="1:22">
      <c r="B38" s="31"/>
      <c r="C38" s="149"/>
      <c r="D38" s="149"/>
      <c r="E38" s="149"/>
      <c r="F38" s="149"/>
      <c r="G38" s="149"/>
      <c r="H38" s="30"/>
      <c r="I38" s="8"/>
      <c r="J38" s="153"/>
      <c r="K38" s="154"/>
    </row>
    <row r="39" spans="1:22" s="14" customFormat="1">
      <c r="A39"/>
      <c r="B39"/>
      <c r="G39"/>
      <c r="H39"/>
      <c r="I39"/>
      <c r="J39"/>
      <c r="K39"/>
      <c r="L39"/>
      <c r="M39"/>
      <c r="N39"/>
      <c r="O39"/>
      <c r="P39"/>
      <c r="Q39"/>
      <c r="R39"/>
      <c r="S39"/>
      <c r="T39"/>
      <c r="U39"/>
      <c r="V39"/>
    </row>
  </sheetData>
  <mergeCells count="46">
    <mergeCell ref="A1:B1"/>
    <mergeCell ref="B6:D6"/>
    <mergeCell ref="E6:G6"/>
    <mergeCell ref="H6:J6"/>
    <mergeCell ref="K6:M6"/>
    <mergeCell ref="C15:G15"/>
    <mergeCell ref="J15:K15"/>
    <mergeCell ref="C19:G19"/>
    <mergeCell ref="J19:K19"/>
    <mergeCell ref="C8:D8"/>
    <mergeCell ref="C12:G12"/>
    <mergeCell ref="J12:K12"/>
    <mergeCell ref="C17:G17"/>
    <mergeCell ref="C18:G18"/>
    <mergeCell ref="J18:K18"/>
    <mergeCell ref="C13:G13"/>
    <mergeCell ref="J13:K13"/>
    <mergeCell ref="C7:D7"/>
    <mergeCell ref="F7:G7"/>
    <mergeCell ref="C38:G38"/>
    <mergeCell ref="J38:K38"/>
    <mergeCell ref="H7:J7"/>
    <mergeCell ref="K7:M7"/>
    <mergeCell ref="C14:G14"/>
    <mergeCell ref="J14:K14"/>
    <mergeCell ref="C16:G16"/>
    <mergeCell ref="J16:K16"/>
    <mergeCell ref="C34:G34"/>
    <mergeCell ref="J34:K34"/>
    <mergeCell ref="C35:G35"/>
    <mergeCell ref="J35:K35"/>
    <mergeCell ref="C36:G36"/>
    <mergeCell ref="J36:K36"/>
    <mergeCell ref="C20:G20"/>
    <mergeCell ref="J20:K20"/>
    <mergeCell ref="C21:G21"/>
    <mergeCell ref="J17:K17"/>
    <mergeCell ref="C37:G37"/>
    <mergeCell ref="J37:K37"/>
    <mergeCell ref="C27:G27"/>
    <mergeCell ref="J27:K27"/>
    <mergeCell ref="C28:G28"/>
    <mergeCell ref="J28:K28"/>
    <mergeCell ref="J21:K21"/>
    <mergeCell ref="C22:G22"/>
    <mergeCell ref="J22:K22"/>
  </mergeCells>
  <hyperlinks>
    <hyperlink ref="A1" location="Sommaire!A1" display="Retour sommaire" xr:uid="{C2472703-9511-4577-894E-1C26D414854F}"/>
    <hyperlink ref="J13:K13" r:id="rId1" display="Gouvernement 2021" xr:uid="{4870D0DB-90D8-48D7-BDA1-4FFB3875F510}"/>
    <hyperlink ref="J14:K14" r:id="rId2" display="Les moyens des politiques publiqes et dispositions spéciales, rapport général, Sénat, 2021" xr:uid="{B54BDA81-B15A-44F6-A7F7-221B719CF509}"/>
    <hyperlink ref="J16:K16" r:id="rId3" display="CGAER, IGA, 2020" xr:uid="{27858341-C809-4B35-938B-E2CFEC36FCE7}"/>
    <hyperlink ref="J20:K20" r:id="rId4" display="Vogel 2020, 30" xr:uid="{95818F76-0223-41C4-9003-D32A102B8B46}"/>
    <hyperlink ref="J22:K22" r:id="rId5" display="Vogel 2020, 31" xr:uid="{E4F12BAC-8345-4FEC-A809-369CD59E96A4}"/>
    <hyperlink ref="J15:K15" r:id="rId6" display="Les moyens des politiques publiqes et dispositions spéciales, rapport général, Sénat, 2021" xr:uid="{9A644C13-05CF-4CB8-A1DD-3B2DD84507C8}"/>
    <hyperlink ref="J17:K17" r:id="rId7" display="Vogel 2019, 26" xr:uid="{B38D6A03-2E67-F048-BF4E-196318F27E1E}"/>
    <hyperlink ref="J19:K19" r:id="rId8" display="Gouvernement 2021" xr:uid="{CDEDD7E1-B3D7-49BA-B723-AB339C820980}"/>
    <hyperlink ref="J18:K18" r:id="rId9" display="Vogel 2019, 26" xr:uid="{A832DFDC-DB9B-D240-B994-8C226A14B45C}"/>
    <hyperlink ref="J21:K21" r:id="rId10" display="Vogel 2020, 30" xr:uid="{F15A338C-7917-134E-A028-2BE34E6A8E7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7C127-CD76-4586-9F0B-563ADF02A0A0}">
  <sheetPr codeName="Feuil9">
    <tabColor theme="3" tint="0.79998168889431442"/>
  </sheetPr>
  <dimension ref="A1:V47"/>
  <sheetViews>
    <sheetView showGridLines="0" workbookViewId="0">
      <pane ySplit="2" topLeftCell="A3" activePane="bottomLeft" state="frozen"/>
      <selection pane="bottomLeft" activeCell="J24" sqref="J24:K24"/>
      <selection activeCell="G31" sqref="G31"/>
    </sheetView>
  </sheetViews>
  <sheetFormatPr defaultColWidth="11" defaultRowHeight="15.75"/>
  <cols>
    <col min="1" max="1" width="1.625" customWidth="1"/>
    <col min="2" max="2" width="20" customWidth="1"/>
    <col min="3" max="6" width="19.125" style="14" customWidth="1"/>
    <col min="7" max="13" width="19.125" customWidth="1"/>
  </cols>
  <sheetData>
    <row r="1" spans="1:22" ht="21.75" customHeight="1">
      <c r="A1" s="166" t="s">
        <v>78</v>
      </c>
      <c r="B1" s="166"/>
    </row>
    <row r="2" spans="1:22" s="66" customFormat="1" ht="25.5" customHeight="1">
      <c r="A2" s="4" t="s">
        <v>23</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83.25" customHeight="1">
      <c r="B7" s="69">
        <f>H16</f>
        <v>235</v>
      </c>
      <c r="C7" s="233" t="s">
        <v>225</v>
      </c>
      <c r="D7" s="234"/>
      <c r="E7" s="69">
        <f>H45+H42</f>
        <v>124.63333333333328</v>
      </c>
      <c r="F7" s="200" t="s">
        <v>226</v>
      </c>
      <c r="G7" s="201"/>
      <c r="H7" s="200" t="s">
        <v>227</v>
      </c>
      <c r="I7" s="202"/>
      <c r="J7" s="201"/>
      <c r="K7" s="164" t="s">
        <v>228</v>
      </c>
      <c r="L7" s="217"/>
      <c r="M7" s="195"/>
    </row>
    <row r="8" spans="1:22" s="68" customFormat="1" ht="62.25" customHeight="1">
      <c r="B8" s="69">
        <f>H21</f>
        <v>204</v>
      </c>
      <c r="C8" s="231" t="s">
        <v>229</v>
      </c>
      <c r="D8" s="232"/>
      <c r="E8" s="84"/>
      <c r="F8" s="31"/>
      <c r="G8" s="3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ht="21" customHeight="1">
      <c r="A13" s="1"/>
      <c r="B13" s="75"/>
      <c r="C13" s="173" t="s">
        <v>230</v>
      </c>
      <c r="D13" s="174"/>
      <c r="E13" s="174"/>
      <c r="F13" s="174"/>
      <c r="G13" s="175"/>
      <c r="H13" s="18">
        <v>24</v>
      </c>
      <c r="I13" s="8" t="s">
        <v>136</v>
      </c>
      <c r="J13" s="170" t="s">
        <v>231</v>
      </c>
      <c r="K13" s="171"/>
    </row>
    <row r="14" spans="1:22" ht="21" customHeight="1">
      <c r="A14" s="1"/>
      <c r="B14" s="75"/>
      <c r="C14" s="173" t="s">
        <v>232</v>
      </c>
      <c r="D14" s="174"/>
      <c r="E14" s="174"/>
      <c r="F14" s="174"/>
      <c r="G14" s="175"/>
      <c r="H14" s="18">
        <v>1.72</v>
      </c>
      <c r="I14" s="8" t="s">
        <v>136</v>
      </c>
      <c r="J14" s="170" t="s">
        <v>233</v>
      </c>
      <c r="K14" s="171"/>
    </row>
    <row r="15" spans="1:22" ht="21" customHeight="1">
      <c r="A15" s="1"/>
      <c r="B15" s="75"/>
      <c r="C15" s="173" t="s">
        <v>234</v>
      </c>
      <c r="D15" s="174"/>
      <c r="E15" s="174"/>
      <c r="F15" s="174"/>
      <c r="G15" s="175"/>
      <c r="H15" s="18">
        <v>1.1000000000000001</v>
      </c>
      <c r="I15" s="8" t="s">
        <v>168</v>
      </c>
      <c r="J15" s="230" t="s">
        <v>235</v>
      </c>
      <c r="K15" s="230"/>
    </row>
    <row r="16" spans="1:22" ht="18.75" customHeight="1">
      <c r="A16" s="1"/>
      <c r="C16" s="184" t="s">
        <v>236</v>
      </c>
      <c r="D16" s="185"/>
      <c r="E16" s="185"/>
      <c r="F16" s="185"/>
      <c r="G16" s="186"/>
      <c r="H16" s="18">
        <v>235</v>
      </c>
      <c r="I16" s="8" t="s">
        <v>118</v>
      </c>
      <c r="J16" s="230" t="s">
        <v>235</v>
      </c>
      <c r="K16" s="230"/>
    </row>
    <row r="17" spans="1:11" ht="15.75" customHeight="1">
      <c r="A17" s="1"/>
      <c r="C17" s="173" t="s">
        <v>237</v>
      </c>
      <c r="D17" s="174"/>
      <c r="E17" s="174"/>
      <c r="F17" s="174"/>
      <c r="G17" s="175"/>
      <c r="H17" s="9">
        <v>0.112</v>
      </c>
      <c r="I17" s="8" t="s">
        <v>238</v>
      </c>
      <c r="J17" s="170" t="s">
        <v>239</v>
      </c>
      <c r="K17" s="171"/>
    </row>
    <row r="18" spans="1:11">
      <c r="A18" s="1"/>
      <c r="C18" s="173" t="s">
        <v>240</v>
      </c>
      <c r="D18" s="174"/>
      <c r="E18" s="174"/>
      <c r="F18" s="174"/>
      <c r="G18" s="175"/>
      <c r="H18" s="9">
        <v>0.38</v>
      </c>
      <c r="I18" s="8" t="s">
        <v>238</v>
      </c>
      <c r="J18" s="170" t="s">
        <v>241</v>
      </c>
      <c r="K18" s="171"/>
    </row>
    <row r="19" spans="1:11">
      <c r="A19" s="1"/>
      <c r="C19" s="173" t="s">
        <v>242</v>
      </c>
      <c r="D19" s="174"/>
      <c r="E19" s="174"/>
      <c r="F19" s="174"/>
      <c r="G19" s="175"/>
      <c r="H19" s="8">
        <v>17.100000000000001</v>
      </c>
      <c r="I19" s="10" t="s">
        <v>243</v>
      </c>
      <c r="J19" s="170" t="s">
        <v>244</v>
      </c>
      <c r="K19" s="171"/>
    </row>
    <row r="20" spans="1:11">
      <c r="A20" s="1"/>
      <c r="C20" s="173" t="s">
        <v>245</v>
      </c>
      <c r="D20" s="174"/>
      <c r="E20" s="174"/>
      <c r="F20" s="174"/>
      <c r="G20" s="175"/>
      <c r="H20" s="8">
        <v>8.8000000000000007</v>
      </c>
      <c r="I20" s="10" t="s">
        <v>243</v>
      </c>
      <c r="J20" s="170" t="s">
        <v>244</v>
      </c>
      <c r="K20" s="171"/>
    </row>
    <row r="21" spans="1:11">
      <c r="A21" s="1"/>
      <c r="C21" s="173" t="s">
        <v>246</v>
      </c>
      <c r="D21" s="174"/>
      <c r="E21" s="174"/>
      <c r="F21" s="174"/>
      <c r="G21" s="175"/>
      <c r="H21" s="8">
        <v>204</v>
      </c>
      <c r="I21" s="10" t="s">
        <v>243</v>
      </c>
      <c r="J21" s="170" t="s">
        <v>247</v>
      </c>
      <c r="K21" s="171"/>
    </row>
    <row r="22" spans="1:11">
      <c r="A22" s="1"/>
      <c r="C22" s="239" t="s">
        <v>248</v>
      </c>
      <c r="D22" s="240"/>
      <c r="E22" s="240"/>
      <c r="F22" s="240"/>
      <c r="G22" s="241"/>
      <c r="H22" s="8">
        <v>113.188</v>
      </c>
      <c r="I22" s="8" t="s">
        <v>249</v>
      </c>
      <c r="J22" s="170" t="s">
        <v>250</v>
      </c>
      <c r="K22" s="171"/>
    </row>
    <row r="23" spans="1:11">
      <c r="A23" s="1"/>
      <c r="C23" s="173" t="s">
        <v>251</v>
      </c>
      <c r="D23" s="174"/>
      <c r="E23" s="174"/>
      <c r="F23" s="174"/>
      <c r="G23" s="175"/>
      <c r="H23" s="13">
        <v>299000</v>
      </c>
      <c r="I23" s="8" t="s">
        <v>252</v>
      </c>
      <c r="J23" s="242" t="s">
        <v>253</v>
      </c>
      <c r="K23" s="243"/>
    </row>
    <row r="24" spans="1:11">
      <c r="A24" s="1"/>
      <c r="C24" s="173" t="s">
        <v>254</v>
      </c>
      <c r="D24" s="174"/>
      <c r="E24" s="174"/>
      <c r="F24" s="174"/>
      <c r="G24" s="175"/>
      <c r="H24" s="8">
        <v>96</v>
      </c>
      <c r="I24" s="8" t="s">
        <v>255</v>
      </c>
      <c r="J24" s="170" t="s">
        <v>256</v>
      </c>
      <c r="K24" s="171"/>
    </row>
    <row r="25" spans="1:11">
      <c r="A25" s="1"/>
      <c r="C25" s="173" t="s">
        <v>257</v>
      </c>
      <c r="D25" s="174"/>
      <c r="E25" s="174"/>
      <c r="F25" s="174"/>
      <c r="G25" s="175"/>
      <c r="H25" s="8">
        <v>1786</v>
      </c>
      <c r="I25" s="8" t="s">
        <v>249</v>
      </c>
      <c r="J25" s="170" t="s">
        <v>256</v>
      </c>
      <c r="K25" s="171"/>
    </row>
    <row r="26" spans="1:11">
      <c r="A26" s="1"/>
      <c r="C26" s="76"/>
      <c r="D26" s="76"/>
      <c r="E26" s="76"/>
      <c r="F26" s="76"/>
      <c r="G26" s="76"/>
      <c r="H26" s="77"/>
      <c r="I26" s="33"/>
      <c r="J26" s="78"/>
      <c r="K26" s="78"/>
    </row>
    <row r="27" spans="1:11">
      <c r="A27" s="1"/>
      <c r="C27" s="76"/>
      <c r="D27" s="76"/>
      <c r="E27" s="76"/>
      <c r="F27" s="76"/>
      <c r="G27" s="76"/>
      <c r="H27" s="77"/>
      <c r="I27" s="33"/>
      <c r="J27" s="78"/>
      <c r="K27" s="78"/>
    </row>
    <row r="28" spans="1:11">
      <c r="A28" s="1"/>
      <c r="C28" s="76"/>
      <c r="D28" s="76"/>
      <c r="E28" s="76"/>
      <c r="F28" s="76"/>
      <c r="G28" s="76"/>
      <c r="H28" s="77"/>
      <c r="I28" s="33"/>
      <c r="J28" s="78"/>
      <c r="K28" s="78"/>
    </row>
    <row r="29" spans="1:11">
      <c r="A29" s="1"/>
      <c r="C29" s="15"/>
      <c r="D29" s="15"/>
      <c r="E29" s="15"/>
      <c r="F29" s="15"/>
      <c r="G29" s="7"/>
      <c r="H29" s="7"/>
      <c r="I29" s="7"/>
      <c r="J29" s="7"/>
      <c r="K29" s="7"/>
    </row>
    <row r="30" spans="1:11">
      <c r="A30" s="1"/>
    </row>
    <row r="31" spans="1:11" s="70" customFormat="1">
      <c r="B31" s="71" t="s">
        <v>100</v>
      </c>
      <c r="C31" s="72"/>
      <c r="D31" s="72"/>
      <c r="E31" s="72"/>
      <c r="F31" s="72"/>
    </row>
    <row r="32" spans="1:11">
      <c r="A32" s="1"/>
    </row>
    <row r="33" spans="1:22" ht="21" customHeight="1">
      <c r="A33" s="1"/>
      <c r="B33" s="75"/>
      <c r="C33" s="151" t="s">
        <v>79</v>
      </c>
      <c r="D33" s="151"/>
      <c r="E33" s="151"/>
      <c r="F33" s="151"/>
      <c r="G33" s="151"/>
      <c r="H33" s="74" t="s">
        <v>80</v>
      </c>
      <c r="I33" s="74" t="s">
        <v>81</v>
      </c>
      <c r="J33" s="159" t="s">
        <v>101</v>
      </c>
      <c r="K33" s="159"/>
    </row>
    <row r="34" spans="1:22" ht="34.5" customHeight="1">
      <c r="A34" s="1"/>
      <c r="C34" s="173" t="s">
        <v>258</v>
      </c>
      <c r="D34" s="174"/>
      <c r="E34" s="174"/>
      <c r="F34" s="174"/>
      <c r="G34" s="175"/>
      <c r="H34" s="12">
        <f>H22*10^6/H23/6</f>
        <v>63.09253065774805</v>
      </c>
      <c r="I34" s="8" t="s">
        <v>259</v>
      </c>
      <c r="J34" s="155" t="s">
        <v>260</v>
      </c>
      <c r="K34" s="156"/>
    </row>
    <row r="35" spans="1:22" ht="34.5" customHeight="1">
      <c r="A35" s="1"/>
      <c r="C35" s="173" t="s">
        <v>261</v>
      </c>
      <c r="D35" s="174"/>
      <c r="E35" s="174"/>
      <c r="F35" s="174"/>
      <c r="G35" s="175"/>
      <c r="H35" s="12">
        <v>2</v>
      </c>
      <c r="I35" s="10" t="s">
        <v>105</v>
      </c>
      <c r="J35" s="155" t="s">
        <v>262</v>
      </c>
      <c r="K35" s="156"/>
    </row>
    <row r="36" spans="1:22">
      <c r="A36" s="1"/>
    </row>
    <row r="37" spans="1:22">
      <c r="A37" s="1"/>
    </row>
    <row r="38" spans="1:22" s="70" customFormat="1">
      <c r="B38" s="71" t="s">
        <v>116</v>
      </c>
      <c r="C38" s="72"/>
      <c r="D38" s="72"/>
      <c r="E38" s="72"/>
      <c r="F38" s="72"/>
    </row>
    <row r="41" spans="1:22" ht="21" customHeight="1">
      <c r="A41" s="1"/>
      <c r="B41" s="75"/>
      <c r="C41" s="151" t="s">
        <v>79</v>
      </c>
      <c r="D41" s="151"/>
      <c r="E41" s="151"/>
      <c r="F41" s="151"/>
      <c r="G41" s="151"/>
      <c r="H41" s="74" t="s">
        <v>80</v>
      </c>
      <c r="I41" s="74" t="s">
        <v>81</v>
      </c>
      <c r="J41" s="159" t="s">
        <v>101</v>
      </c>
      <c r="K41" s="159"/>
    </row>
    <row r="42" spans="1:22" ht="36" customHeight="1">
      <c r="B42" s="31"/>
      <c r="C42" s="236" t="s">
        <v>263</v>
      </c>
      <c r="D42" s="237"/>
      <c r="E42" s="237"/>
      <c r="F42" s="237"/>
      <c r="G42" s="238"/>
      <c r="H42" s="34">
        <f>H35*H24*Hyp_communes!D7/1000000</f>
        <v>11.52</v>
      </c>
      <c r="I42" s="35" t="s">
        <v>118</v>
      </c>
      <c r="J42" s="155"/>
      <c r="K42" s="156"/>
    </row>
    <row r="43" spans="1:22" ht="36" customHeight="1">
      <c r="B43" s="31"/>
      <c r="C43" s="236" t="s">
        <v>264</v>
      </c>
      <c r="D43" s="237"/>
      <c r="E43" s="237"/>
      <c r="F43" s="237"/>
      <c r="G43" s="238"/>
      <c r="H43" s="34">
        <f>H25/6</f>
        <v>297.66666666666669</v>
      </c>
      <c r="I43" s="35" t="s">
        <v>118</v>
      </c>
      <c r="J43" s="206" t="s">
        <v>265</v>
      </c>
      <c r="K43" s="207"/>
    </row>
    <row r="44" spans="1:22" ht="36" customHeight="1">
      <c r="B44" s="31"/>
      <c r="C44" s="173" t="s">
        <v>266</v>
      </c>
      <c r="D44" s="174"/>
      <c r="E44" s="174"/>
      <c r="F44" s="174"/>
      <c r="G44" s="175"/>
      <c r="H44" s="98">
        <f>(1+H17)*H43-H43</f>
        <v>33.338666666666711</v>
      </c>
      <c r="I44" s="8" t="s">
        <v>118</v>
      </c>
      <c r="J44" s="235" t="s">
        <v>267</v>
      </c>
      <c r="K44" s="235"/>
    </row>
    <row r="45" spans="1:22" s="14" customFormat="1" ht="36" customHeight="1">
      <c r="A45"/>
      <c r="B45"/>
      <c r="C45" s="173" t="s">
        <v>268</v>
      </c>
      <c r="D45" s="174"/>
      <c r="E45" s="174"/>
      <c r="F45" s="174"/>
      <c r="G45" s="175"/>
      <c r="H45" s="98">
        <f>(1+H18)*H43-H43</f>
        <v>113.11333333333329</v>
      </c>
      <c r="I45" s="8" t="s">
        <v>118</v>
      </c>
      <c r="J45" s="235" t="s">
        <v>267</v>
      </c>
      <c r="K45" s="235"/>
      <c r="L45"/>
      <c r="M45"/>
      <c r="N45"/>
      <c r="O45"/>
      <c r="P45"/>
      <c r="Q45"/>
      <c r="R45"/>
      <c r="S45"/>
      <c r="T45"/>
      <c r="U45"/>
      <c r="V45"/>
    </row>
    <row r="46" spans="1:22" ht="51.75" customHeight="1">
      <c r="C46" s="173" t="s">
        <v>269</v>
      </c>
      <c r="D46" s="174"/>
      <c r="E46" s="174"/>
      <c r="F46" s="174"/>
      <c r="G46" s="175"/>
      <c r="H46" s="98">
        <f>H34*H20-H43</f>
        <v>257.54760312151615</v>
      </c>
      <c r="I46" s="8" t="s">
        <v>118</v>
      </c>
      <c r="J46" s="235" t="s">
        <v>267</v>
      </c>
      <c r="K46" s="235"/>
    </row>
    <row r="47" spans="1:22" ht="36" customHeight="1">
      <c r="C47" s="236" t="s">
        <v>270</v>
      </c>
      <c r="D47" s="237"/>
      <c r="E47" s="237"/>
      <c r="F47" s="237"/>
      <c r="G47" s="238"/>
      <c r="H47" s="98">
        <f>H34*H19-H43</f>
        <v>781.21560758082501</v>
      </c>
      <c r="I47" s="8" t="s">
        <v>118</v>
      </c>
      <c r="J47" s="235" t="s">
        <v>267</v>
      </c>
      <c r="K47" s="235"/>
    </row>
  </sheetData>
  <mergeCells count="58">
    <mergeCell ref="A1:B1"/>
    <mergeCell ref="B6:D6"/>
    <mergeCell ref="E6:G6"/>
    <mergeCell ref="H6:J6"/>
    <mergeCell ref="K6:M6"/>
    <mergeCell ref="C17:G17"/>
    <mergeCell ref="J17:K17"/>
    <mergeCell ref="C33:G33"/>
    <mergeCell ref="J33:K33"/>
    <mergeCell ref="C34:G34"/>
    <mergeCell ref="J34:K34"/>
    <mergeCell ref="C21:G21"/>
    <mergeCell ref="J21:K21"/>
    <mergeCell ref="C22:G22"/>
    <mergeCell ref="J22:K22"/>
    <mergeCell ref="C23:G23"/>
    <mergeCell ref="J23:K23"/>
    <mergeCell ref="C24:G24"/>
    <mergeCell ref="J24:K24"/>
    <mergeCell ref="C25:G25"/>
    <mergeCell ref="J25:K25"/>
    <mergeCell ref="C43:G43"/>
    <mergeCell ref="J43:K43"/>
    <mergeCell ref="C44:G44"/>
    <mergeCell ref="J44:K44"/>
    <mergeCell ref="C18:G18"/>
    <mergeCell ref="J18:K18"/>
    <mergeCell ref="C19:G19"/>
    <mergeCell ref="J19:K19"/>
    <mergeCell ref="C20:G20"/>
    <mergeCell ref="J20:K20"/>
    <mergeCell ref="C41:G41"/>
    <mergeCell ref="J41:K41"/>
    <mergeCell ref="C42:G42"/>
    <mergeCell ref="J42:K42"/>
    <mergeCell ref="C35:G35"/>
    <mergeCell ref="J35:K35"/>
    <mergeCell ref="C45:G45"/>
    <mergeCell ref="J45:K45"/>
    <mergeCell ref="C46:G46"/>
    <mergeCell ref="J46:K46"/>
    <mergeCell ref="C47:G47"/>
    <mergeCell ref="J47:K47"/>
    <mergeCell ref="K7:M7"/>
    <mergeCell ref="C13:G13"/>
    <mergeCell ref="J13:K13"/>
    <mergeCell ref="C16:G16"/>
    <mergeCell ref="J16:K16"/>
    <mergeCell ref="C14:G14"/>
    <mergeCell ref="J14:K14"/>
    <mergeCell ref="C15:G15"/>
    <mergeCell ref="J15:K15"/>
    <mergeCell ref="C8:D8"/>
    <mergeCell ref="C12:G12"/>
    <mergeCell ref="J12:K12"/>
    <mergeCell ref="C7:D7"/>
    <mergeCell ref="F7:G7"/>
    <mergeCell ref="H7:J7"/>
  </mergeCells>
  <hyperlinks>
    <hyperlink ref="A1" location="Sommaire!A1" display="Retour sommaire" xr:uid="{850A0BFC-13F3-43E2-B356-825259A36CC7}"/>
    <hyperlink ref="J17:K17" r:id="rId1" display="FFA, 2021 " xr:uid="{44BAAE2D-22B5-4DFD-9B3F-B24007222613}"/>
    <hyperlink ref="J18:K18" r:id="rId2" display="CCR, 2018" xr:uid="{894CBDCC-4970-49C6-AC1B-67CD01FEADFD}"/>
    <hyperlink ref="J19:K19" r:id="rId3" display="Assemblée nationale, 2021" xr:uid="{5BC9794A-F9C8-4DB7-9EC7-984E673B61DF}"/>
    <hyperlink ref="J20:K20" r:id="rId4" display="Assemblée nationale, 2021" xr:uid="{1F372821-E44C-48B0-9E99-BB8B619DAD0E}"/>
    <hyperlink ref="J22:K22" r:id="rId5" display="Prefecture du gard" xr:uid="{BDF1BD0C-978D-477B-BC99-F729A65EAE82}"/>
    <hyperlink ref="J25:K25" r:id="rId6" display="CGEDD, 2019" xr:uid="{BEDC07B8-211D-4F75-816F-AAFF7C6B0FA5}"/>
    <hyperlink ref="J24:K24" r:id="rId7" display="CGEDD, 2019" xr:uid="{9FAB7AD0-C84C-48FB-92D5-5C962C2DCE03}"/>
    <hyperlink ref="J21:K21" r:id="rId8" display="Assemblée nationale" xr:uid="{4A09E118-2109-40F1-A143-C0D4D26C3969}"/>
    <hyperlink ref="J13:K13" r:id="rId9" display="FFA, 2021 " xr:uid="{5BD8A131-D71A-4BAD-B5DB-E601A0D735B7}"/>
    <hyperlink ref="J14:K14" r:id="rId10" display="CCR, 2020" xr:uid="{98AB4E43-7BA5-481B-A56F-D760CA1ED20A}"/>
    <hyperlink ref="J15:K15" r:id="rId11" display="PLF 2022,  Programme 181" xr:uid="{8ACAA30A-B608-1C4A-8198-0AD5B61B4BE7}"/>
    <hyperlink ref="J16:K16" r:id="rId12" display="PLF 2022,  Programme 181" xr:uid="{86E9BC30-418B-6D42-827B-8D4E7BD1C633}"/>
  </hyperlinks>
  <pageMargins left="0.7" right="0.7" top="0.75" bottom="0.75" header="0.3" footer="0.3"/>
  <pageSetup paperSize="9" orientation="portrait" horizontalDpi="1200" verticalDpi="1200" r:id="rId1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E7BCC-2D94-43AE-A616-9392E4E45CDD}">
  <sheetPr codeName="Feuil15">
    <tabColor theme="3" tint="0.79998168889431442"/>
  </sheetPr>
  <dimension ref="A1:V43"/>
  <sheetViews>
    <sheetView showGridLines="0" workbookViewId="0">
      <pane ySplit="2" topLeftCell="A3" activePane="bottomLeft" state="frozen"/>
      <selection pane="bottomLeft" activeCell="D46" sqref="D46"/>
      <selection activeCell="G31" sqref="G31"/>
    </sheetView>
  </sheetViews>
  <sheetFormatPr defaultColWidth="11" defaultRowHeight="15.75"/>
  <cols>
    <col min="1" max="1" width="1.625" customWidth="1"/>
    <col min="2" max="2" width="20.375" customWidth="1"/>
    <col min="3" max="6" width="19.125" style="14" customWidth="1"/>
    <col min="7" max="13" width="19.125" customWidth="1"/>
  </cols>
  <sheetData>
    <row r="1" spans="1:22" ht="21.75" customHeight="1">
      <c r="A1" s="166" t="s">
        <v>78</v>
      </c>
      <c r="B1" s="166"/>
    </row>
    <row r="2" spans="1:22" s="66" customFormat="1" ht="25.5" customHeight="1">
      <c r="A2" s="4" t="s">
        <v>26</v>
      </c>
      <c r="C2" s="67"/>
      <c r="D2" s="67"/>
      <c r="E2" s="67"/>
      <c r="F2" s="67"/>
      <c r="I2" s="5"/>
      <c r="J2" s="5"/>
      <c r="K2" s="5"/>
      <c r="L2" s="5"/>
      <c r="M2" s="5"/>
      <c r="N2" s="5"/>
      <c r="O2" s="5"/>
      <c r="P2" s="5"/>
      <c r="Q2" s="5"/>
      <c r="R2" s="5"/>
      <c r="S2" s="5"/>
      <c r="T2" s="5"/>
      <c r="U2" s="5"/>
      <c r="V2" s="5"/>
    </row>
    <row r="6" spans="1:22" ht="18.75" customHeight="1">
      <c r="B6" s="165" t="s">
        <v>84</v>
      </c>
      <c r="C6" s="165"/>
      <c r="D6" s="165"/>
      <c r="E6" s="196" t="s">
        <v>85</v>
      </c>
      <c r="F6" s="197"/>
      <c r="G6" s="197"/>
      <c r="H6" s="198" t="s">
        <v>126</v>
      </c>
      <c r="I6" s="198"/>
      <c r="J6" s="198"/>
      <c r="K6" s="199" t="s">
        <v>127</v>
      </c>
      <c r="L6" s="199"/>
      <c r="M6" s="199"/>
    </row>
    <row r="7" spans="1:22" s="68" customFormat="1" ht="69.75" customHeight="1">
      <c r="B7" s="249" t="s">
        <v>271</v>
      </c>
      <c r="C7" s="250"/>
      <c r="D7" s="251"/>
      <c r="E7" s="69">
        <f>H39</f>
        <v>18</v>
      </c>
      <c r="F7" s="200" t="s">
        <v>272</v>
      </c>
      <c r="G7" s="201"/>
      <c r="H7" s="200" t="s">
        <v>273</v>
      </c>
      <c r="I7" s="202"/>
      <c r="J7" s="201"/>
      <c r="K7" s="164" t="s">
        <v>274</v>
      </c>
      <c r="L7" s="217"/>
      <c r="M7" s="195"/>
    </row>
    <row r="8" spans="1:22" s="68" customFormat="1" ht="62.25" customHeight="1">
      <c r="B8" s="84"/>
      <c r="C8" s="31"/>
      <c r="D8" s="31"/>
      <c r="E8" s="69">
        <f>H42</f>
        <v>500</v>
      </c>
      <c r="F8" s="200" t="s">
        <v>29</v>
      </c>
      <c r="G8" s="201"/>
      <c r="H8" s="84"/>
      <c r="I8" s="31"/>
      <c r="J8" s="31"/>
      <c r="K8" s="84"/>
      <c r="L8" s="31"/>
      <c r="M8" s="31"/>
    </row>
    <row r="10" spans="1:22" s="70" customFormat="1">
      <c r="B10" s="71" t="s">
        <v>87</v>
      </c>
      <c r="C10" s="72"/>
      <c r="D10" s="72"/>
      <c r="E10" s="72"/>
      <c r="F10" s="72"/>
    </row>
    <row r="12" spans="1:22" ht="21" customHeight="1">
      <c r="A12" s="1"/>
      <c r="B12" s="75"/>
      <c r="C12" s="151" t="s">
        <v>79</v>
      </c>
      <c r="D12" s="151"/>
      <c r="E12" s="151"/>
      <c r="F12" s="151"/>
      <c r="G12" s="151"/>
      <c r="H12" s="74" t="s">
        <v>80</v>
      </c>
      <c r="I12" s="74" t="s">
        <v>81</v>
      </c>
      <c r="J12" s="168" t="s">
        <v>88</v>
      </c>
      <c r="K12" s="169"/>
    </row>
    <row r="13" spans="1:22" ht="15.75" customHeight="1">
      <c r="A13" s="1"/>
      <c r="C13" s="172" t="s">
        <v>275</v>
      </c>
      <c r="D13" s="172"/>
      <c r="E13" s="172"/>
      <c r="F13" s="172"/>
      <c r="G13" s="172"/>
      <c r="H13" s="44">
        <v>800</v>
      </c>
      <c r="I13" s="44" t="s">
        <v>118</v>
      </c>
      <c r="J13" s="157" t="s">
        <v>276</v>
      </c>
      <c r="K13" s="158"/>
      <c r="L13" s="14"/>
    </row>
    <row r="14" spans="1:22">
      <c r="A14" s="1"/>
      <c r="C14" s="172" t="s">
        <v>277</v>
      </c>
      <c r="D14" s="172"/>
      <c r="E14" s="172"/>
      <c r="F14" s="172"/>
      <c r="G14" s="172"/>
      <c r="H14" s="44">
        <v>5</v>
      </c>
      <c r="I14" s="44" t="s">
        <v>136</v>
      </c>
      <c r="J14" s="182" t="s">
        <v>278</v>
      </c>
      <c r="K14" s="183"/>
    </row>
    <row r="15" spans="1:22">
      <c r="A15" s="1"/>
      <c r="C15" s="176" t="s">
        <v>279</v>
      </c>
      <c r="D15" s="176"/>
      <c r="E15" s="176"/>
      <c r="F15" s="176"/>
      <c r="G15" s="176"/>
      <c r="H15" s="8">
        <v>774</v>
      </c>
      <c r="I15" s="10" t="s">
        <v>280</v>
      </c>
      <c r="J15" s="170" t="s">
        <v>281</v>
      </c>
      <c r="K15" s="171"/>
    </row>
    <row r="16" spans="1:22">
      <c r="A16" s="1"/>
      <c r="C16" s="176" t="s">
        <v>282</v>
      </c>
      <c r="D16" s="176"/>
      <c r="E16" s="176"/>
      <c r="F16" s="176"/>
      <c r="G16" s="176"/>
      <c r="H16" s="17">
        <v>200000</v>
      </c>
      <c r="I16" s="17" t="s">
        <v>283</v>
      </c>
      <c r="J16" s="170" t="s">
        <v>284</v>
      </c>
      <c r="K16" s="171"/>
    </row>
    <row r="17" spans="1:11">
      <c r="A17" s="1"/>
      <c r="C17" s="176" t="s">
        <v>285</v>
      </c>
      <c r="D17" s="176"/>
      <c r="E17" s="176"/>
      <c r="F17" s="176"/>
      <c r="G17" s="176"/>
      <c r="H17" s="17">
        <v>14</v>
      </c>
      <c r="I17" s="17" t="s">
        <v>136</v>
      </c>
      <c r="J17" s="170" t="s">
        <v>286</v>
      </c>
      <c r="K17" s="171"/>
    </row>
    <row r="18" spans="1:11">
      <c r="A18" s="1"/>
      <c r="C18" s="176" t="s">
        <v>287</v>
      </c>
      <c r="D18" s="176"/>
      <c r="E18" s="176"/>
      <c r="F18" s="176"/>
      <c r="G18" s="176"/>
      <c r="H18" s="8">
        <v>480</v>
      </c>
      <c r="I18" s="8" t="s">
        <v>118</v>
      </c>
      <c r="J18" s="170" t="s">
        <v>286</v>
      </c>
      <c r="K18" s="171"/>
    </row>
    <row r="19" spans="1:11">
      <c r="A19" s="1"/>
      <c r="C19" s="176" t="s">
        <v>288</v>
      </c>
      <c r="D19" s="176"/>
      <c r="E19" s="176"/>
      <c r="F19" s="176"/>
      <c r="G19" s="176"/>
      <c r="H19" s="8">
        <v>112.5</v>
      </c>
      <c r="I19" s="8" t="s">
        <v>289</v>
      </c>
      <c r="J19" s="170" t="s">
        <v>286</v>
      </c>
      <c r="K19" s="171"/>
    </row>
    <row r="20" spans="1:11">
      <c r="A20" s="1"/>
      <c r="B20" s="100"/>
      <c r="C20" s="176" t="s">
        <v>290</v>
      </c>
      <c r="D20" s="176"/>
      <c r="E20" s="176"/>
      <c r="F20" s="176"/>
      <c r="G20" s="176"/>
      <c r="H20" s="13">
        <v>25583711</v>
      </c>
      <c r="I20" s="8" t="s">
        <v>291</v>
      </c>
      <c r="J20" s="170" t="s">
        <v>281</v>
      </c>
      <c r="K20" s="171"/>
    </row>
    <row r="21" spans="1:11" ht="15.75" customHeight="1">
      <c r="A21" s="1"/>
      <c r="B21" s="248"/>
      <c r="C21" s="176" t="s">
        <v>292</v>
      </c>
      <c r="D21" s="176"/>
      <c r="E21" s="176"/>
      <c r="F21" s="176"/>
      <c r="G21" s="176"/>
      <c r="H21" s="8">
        <v>76</v>
      </c>
      <c r="I21" s="8" t="s">
        <v>259</v>
      </c>
      <c r="J21" s="170" t="s">
        <v>293</v>
      </c>
      <c r="K21" s="171"/>
    </row>
    <row r="22" spans="1:11" ht="15.75" customHeight="1">
      <c r="A22" s="1"/>
      <c r="B22" s="248"/>
      <c r="C22" s="176" t="s">
        <v>294</v>
      </c>
      <c r="D22" s="176"/>
      <c r="E22" s="176"/>
      <c r="F22" s="176"/>
      <c r="G22" s="176"/>
      <c r="H22" s="8">
        <v>98</v>
      </c>
      <c r="I22" s="8" t="s">
        <v>259</v>
      </c>
      <c r="J22" s="170" t="s">
        <v>293</v>
      </c>
      <c r="K22" s="171"/>
    </row>
    <row r="23" spans="1:11">
      <c r="A23" s="1"/>
      <c r="C23" s="176" t="s">
        <v>295</v>
      </c>
      <c r="D23" s="176"/>
      <c r="E23" s="176"/>
      <c r="F23" s="176"/>
      <c r="G23" s="176"/>
      <c r="H23" s="8">
        <v>51</v>
      </c>
      <c r="I23" s="8" t="s">
        <v>296</v>
      </c>
      <c r="J23" s="170" t="s">
        <v>293</v>
      </c>
      <c r="K23" s="171"/>
    </row>
    <row r="24" spans="1:11">
      <c r="A24" s="1"/>
      <c r="C24" s="176" t="s">
        <v>297</v>
      </c>
      <c r="D24" s="176"/>
      <c r="E24" s="176"/>
      <c r="F24" s="176"/>
      <c r="G24" s="176"/>
      <c r="H24" s="8">
        <v>100</v>
      </c>
      <c r="I24" s="8" t="s">
        <v>296</v>
      </c>
      <c r="J24" s="170" t="s">
        <v>293</v>
      </c>
      <c r="K24" s="171"/>
    </row>
    <row r="25" spans="1:11">
      <c r="A25" s="1"/>
    </row>
    <row r="26" spans="1:11" s="70" customFormat="1">
      <c r="B26" s="71" t="s">
        <v>100</v>
      </c>
      <c r="C26" s="72"/>
      <c r="D26" s="72"/>
      <c r="E26" s="72"/>
      <c r="F26" s="72"/>
    </row>
    <row r="27" spans="1:11">
      <c r="A27" s="1"/>
    </row>
    <row r="28" spans="1:11" ht="21" customHeight="1">
      <c r="A28" s="1"/>
      <c r="B28" s="75"/>
      <c r="C28" s="151" t="s">
        <v>79</v>
      </c>
      <c r="D28" s="151"/>
      <c r="E28" s="151"/>
      <c r="F28" s="151"/>
      <c r="G28" s="151"/>
      <c r="H28" s="74" t="s">
        <v>80</v>
      </c>
      <c r="I28" s="74" t="s">
        <v>81</v>
      </c>
      <c r="J28" s="159" t="s">
        <v>101</v>
      </c>
      <c r="K28" s="159"/>
    </row>
    <row r="29" spans="1:11" ht="34.5" customHeight="1">
      <c r="A29" s="1"/>
      <c r="C29" s="173" t="s">
        <v>298</v>
      </c>
      <c r="D29" s="174"/>
      <c r="E29" s="174"/>
      <c r="F29" s="174"/>
      <c r="G29" s="175"/>
      <c r="H29" s="12">
        <f>H13</f>
        <v>800</v>
      </c>
      <c r="I29" s="8" t="s">
        <v>118</v>
      </c>
      <c r="J29" s="153"/>
      <c r="K29" s="154"/>
    </row>
    <row r="30" spans="1:11" ht="34.5" customHeight="1">
      <c r="A30" s="1"/>
      <c r="C30" s="173" t="s">
        <v>299</v>
      </c>
      <c r="D30" s="174"/>
      <c r="E30" s="174"/>
      <c r="F30" s="174"/>
      <c r="G30" s="175"/>
      <c r="H30" s="17">
        <f>H14/5*1000</f>
        <v>1000</v>
      </c>
      <c r="I30" s="8" t="s">
        <v>118</v>
      </c>
      <c r="J30" s="153"/>
      <c r="K30" s="154"/>
    </row>
    <row r="31" spans="1:11" ht="34.5" customHeight="1">
      <c r="A31" s="1"/>
      <c r="C31" s="173" t="s">
        <v>300</v>
      </c>
      <c r="D31" s="174"/>
      <c r="E31" s="174"/>
      <c r="F31" s="174"/>
      <c r="G31" s="175"/>
      <c r="H31" s="25">
        <v>0.01</v>
      </c>
      <c r="I31" s="10" t="s">
        <v>238</v>
      </c>
      <c r="J31" s="245"/>
      <c r="K31" s="245"/>
    </row>
    <row r="32" spans="1:11" ht="34.5" customHeight="1">
      <c r="A32" s="1"/>
      <c r="C32" s="173" t="s">
        <v>301</v>
      </c>
      <c r="D32" s="174"/>
      <c r="E32" s="174"/>
      <c r="F32" s="174"/>
      <c r="G32" s="175"/>
      <c r="H32" s="16">
        <v>25400</v>
      </c>
      <c r="I32" s="10" t="s">
        <v>302</v>
      </c>
      <c r="J32" s="246" t="s">
        <v>303</v>
      </c>
      <c r="K32" s="247"/>
    </row>
    <row r="33" spans="1:11">
      <c r="A33" s="1"/>
      <c r="C33" s="173" t="s">
        <v>304</v>
      </c>
      <c r="D33" s="174"/>
      <c r="E33" s="174"/>
      <c r="F33" s="174"/>
      <c r="G33" s="175"/>
      <c r="H33" s="17">
        <f>H21*H20/1000000</f>
        <v>1944.362036</v>
      </c>
      <c r="I33" s="8" t="s">
        <v>118</v>
      </c>
      <c r="J33" s="245"/>
      <c r="K33" s="245"/>
    </row>
    <row r="34" spans="1:11">
      <c r="A34" s="1"/>
    </row>
    <row r="35" spans="1:11" s="70" customFormat="1">
      <c r="B35" s="71" t="s">
        <v>116</v>
      </c>
      <c r="C35" s="72"/>
      <c r="D35" s="72"/>
      <c r="E35" s="72"/>
      <c r="F35" s="72"/>
    </row>
    <row r="38" spans="1:11" ht="21" customHeight="1">
      <c r="A38" s="1"/>
      <c r="B38" s="75"/>
      <c r="C38" s="151" t="s">
        <v>79</v>
      </c>
      <c r="D38" s="151"/>
      <c r="E38" s="151"/>
      <c r="F38" s="151"/>
      <c r="G38" s="151"/>
      <c r="H38" s="74" t="s">
        <v>80</v>
      </c>
      <c r="I38" s="74" t="s">
        <v>81</v>
      </c>
      <c r="J38" s="159" t="s">
        <v>101</v>
      </c>
      <c r="K38" s="159"/>
    </row>
    <row r="39" spans="1:11" ht="15.75" customHeight="1">
      <c r="B39" s="31"/>
      <c r="C39" s="173" t="s">
        <v>305</v>
      </c>
      <c r="D39" s="174"/>
      <c r="E39" s="174"/>
      <c r="F39" s="174"/>
      <c r="G39" s="175"/>
      <c r="H39" s="12">
        <f>(H29+H30)*H31</f>
        <v>18</v>
      </c>
      <c r="I39" s="8" t="s">
        <v>118</v>
      </c>
      <c r="J39" s="153"/>
      <c r="K39" s="154"/>
    </row>
    <row r="40" spans="1:11" ht="15.75" customHeight="1">
      <c r="B40" s="31"/>
      <c r="C40" s="173" t="s">
        <v>306</v>
      </c>
      <c r="D40" s="174"/>
      <c r="E40" s="174"/>
      <c r="F40" s="174"/>
      <c r="G40" s="175"/>
      <c r="H40" s="17">
        <f>H20*H22/1000000-H33</f>
        <v>562.84164199999987</v>
      </c>
      <c r="I40" s="8" t="s">
        <v>118</v>
      </c>
      <c r="J40" s="191" t="s">
        <v>307</v>
      </c>
      <c r="K40" s="191"/>
    </row>
    <row r="41" spans="1:11">
      <c r="B41" s="31"/>
      <c r="C41" s="173" t="s">
        <v>308</v>
      </c>
      <c r="D41" s="174"/>
      <c r="E41" s="174"/>
      <c r="F41" s="174"/>
      <c r="G41" s="175"/>
      <c r="H41" s="26">
        <f>H32*H16/1000000/13</f>
        <v>390.76923076923077</v>
      </c>
      <c r="I41" s="8" t="s">
        <v>118</v>
      </c>
      <c r="J41" s="155" t="s">
        <v>309</v>
      </c>
      <c r="K41" s="156"/>
    </row>
    <row r="42" spans="1:11" ht="33" customHeight="1">
      <c r="C42" s="173" t="s">
        <v>310</v>
      </c>
      <c r="D42" s="174"/>
      <c r="E42" s="174"/>
      <c r="F42" s="174"/>
      <c r="G42" s="175"/>
      <c r="H42" s="17">
        <v>500</v>
      </c>
      <c r="I42" s="8" t="s">
        <v>118</v>
      </c>
      <c r="J42" s="244" t="s">
        <v>311</v>
      </c>
      <c r="K42" s="244"/>
    </row>
    <row r="43" spans="1:11" ht="58.5" customHeight="1">
      <c r="B43" s="31"/>
      <c r="C43" s="173" t="s">
        <v>312</v>
      </c>
      <c r="D43" s="174"/>
      <c r="E43" s="174"/>
      <c r="F43" s="174"/>
      <c r="G43" s="175"/>
      <c r="H43" s="26">
        <f>(H24-H23)*H19*H20/1000000000/15</f>
        <v>9.4020137924999982</v>
      </c>
      <c r="I43" s="8" t="s">
        <v>168</v>
      </c>
      <c r="J43" s="206" t="s">
        <v>313</v>
      </c>
      <c r="K43" s="207"/>
    </row>
  </sheetData>
  <mergeCells count="61">
    <mergeCell ref="F8:G8"/>
    <mergeCell ref="C12:G12"/>
    <mergeCell ref="J12:K12"/>
    <mergeCell ref="A1:B1"/>
    <mergeCell ref="B6:D6"/>
    <mergeCell ref="E6:G6"/>
    <mergeCell ref="H6:J6"/>
    <mergeCell ref="K6:M6"/>
    <mergeCell ref="F7:G7"/>
    <mergeCell ref="B7:D7"/>
    <mergeCell ref="H7:J7"/>
    <mergeCell ref="K7:M7"/>
    <mergeCell ref="C13:G13"/>
    <mergeCell ref="J13:K13"/>
    <mergeCell ref="C28:G28"/>
    <mergeCell ref="J28:K28"/>
    <mergeCell ref="C29:G29"/>
    <mergeCell ref="J29:K29"/>
    <mergeCell ref="C18:G18"/>
    <mergeCell ref="J17:K17"/>
    <mergeCell ref="C20:G20"/>
    <mergeCell ref="J20:K20"/>
    <mergeCell ref="C17:G17"/>
    <mergeCell ref="J18:K18"/>
    <mergeCell ref="C43:G43"/>
    <mergeCell ref="J43:K43"/>
    <mergeCell ref="C14:G14"/>
    <mergeCell ref="J14:K14"/>
    <mergeCell ref="C15:G15"/>
    <mergeCell ref="J15:K15"/>
    <mergeCell ref="C16:G16"/>
    <mergeCell ref="J16:K16"/>
    <mergeCell ref="C38:G38"/>
    <mergeCell ref="J38:K38"/>
    <mergeCell ref="C39:G39"/>
    <mergeCell ref="J39:K39"/>
    <mergeCell ref="C40:G40"/>
    <mergeCell ref="J40:K40"/>
    <mergeCell ref="C30:G30"/>
    <mergeCell ref="J30:K30"/>
    <mergeCell ref="B21:B22"/>
    <mergeCell ref="C21:G21"/>
    <mergeCell ref="J21:K21"/>
    <mergeCell ref="C22:G22"/>
    <mergeCell ref="J22:K22"/>
    <mergeCell ref="C42:G42"/>
    <mergeCell ref="J42:K42"/>
    <mergeCell ref="C24:G24"/>
    <mergeCell ref="J24:K24"/>
    <mergeCell ref="C19:G19"/>
    <mergeCell ref="J19:K19"/>
    <mergeCell ref="C33:G33"/>
    <mergeCell ref="J33:K33"/>
    <mergeCell ref="C23:G23"/>
    <mergeCell ref="J23:K23"/>
    <mergeCell ref="C41:G41"/>
    <mergeCell ref="J41:K41"/>
    <mergeCell ref="C31:G31"/>
    <mergeCell ref="J31:K31"/>
    <mergeCell ref="C32:G32"/>
    <mergeCell ref="J32:K32"/>
  </mergeCells>
  <hyperlinks>
    <hyperlink ref="A1" location="Sommaire!A1" display="Retour sommaire" xr:uid="{22595147-1747-4274-AD45-CFBF363994D0}"/>
    <hyperlink ref="J16:K16" r:id="rId1" display="CEREMA, 2022" xr:uid="{AC1C89E6-98DE-4635-85E9-C75EFF36DAC7}"/>
    <hyperlink ref="J17:K17" r:id="rId2" display="Carbone 4" xr:uid="{7C977C88-B58D-4DC8-BA87-D7ABC8803500}"/>
    <hyperlink ref="J21:K21" r:id="rId3" display="Observatoire des villes vertes, 2020" xr:uid="{62613115-2127-463C-AD31-C15062A780BE}"/>
    <hyperlink ref="J22:K22" r:id="rId4" display="Observatoire des villes vertes, 2020" xr:uid="{CABCBA10-9EDF-4D54-8653-375DD4C67872}"/>
    <hyperlink ref="J23:K23" r:id="rId5" display="Observatoire des villes vertes, 2020" xr:uid="{A54FC786-7018-4411-BFD5-CE7B96810F29}"/>
    <hyperlink ref="J24:K24" r:id="rId6" display="Observatoire des villes vertes, 2020" xr:uid="{59600D9C-4803-4241-B18A-B8B72DAC2689}"/>
    <hyperlink ref="J15:K15" r:id="rId7" display="Grille communale de densité, INSEE, 2020" xr:uid="{E8E1DBE8-F43E-4265-A2B4-BCC3EFBD7B3B}"/>
    <hyperlink ref="J18:K18" r:id="rId8" display="Carbone 4" xr:uid="{7EFF9BF1-2E6F-43C9-B99A-BAE721E7BFE2}"/>
    <hyperlink ref="J19:K19" r:id="rId9" display="Carbone 4" xr:uid="{DADD2B7B-ED72-4B95-8EC9-4B900EF0DE49}"/>
    <hyperlink ref="J13:K13" r:id="rId10" display="ANRU" xr:uid="{DCEDA1C7-AC6B-AF48-AD61-2C8525569DFF}"/>
    <hyperlink ref="J14:K14" r:id="rId11" display="Banque des territoires" xr:uid="{D1064557-CA7E-3947-A289-5397B4C60D30}"/>
  </hyperlinks>
  <pageMargins left="0.7" right="0.7" top="0.75" bottom="0.75" header="0.3" footer="0.3"/>
  <pageSetup paperSize="9" orientation="portrait" r:id="rId1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3565D2027CB5C43B896265DB26BF053" ma:contentTypeVersion="18" ma:contentTypeDescription="Crée un document." ma:contentTypeScope="" ma:versionID="933939cf423a19f7d2715222819c967f">
  <xsd:schema xmlns:xsd="http://www.w3.org/2001/XMLSchema" xmlns:xs="http://www.w3.org/2001/XMLSchema" xmlns:p="http://schemas.microsoft.com/office/2006/metadata/properties" xmlns:ns1="http://schemas.microsoft.com/sharepoint/v3" xmlns:ns2="6d25fa36-6e92-4a8c-bcd7-8d2e2e5dc1cc" xmlns:ns3="2a193445-8f29-4d28-b3a3-ce6182a987ad" targetNamespace="http://schemas.microsoft.com/office/2006/metadata/properties" ma:root="true" ma:fieldsID="55656ea843c1efe6a5ed407250a478e7" ns1:_="" ns2:_="" ns3:_="">
    <xsd:import namespace="http://schemas.microsoft.com/sharepoint/v3"/>
    <xsd:import namespace="6d25fa36-6e92-4a8c-bcd7-8d2e2e5dc1cc"/>
    <xsd:import namespace="2a193445-8f29-4d28-b3a3-ce6182a987a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25fa36-6e92-4a8c-bcd7-8d2e2e5dc1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fdb6b646-3ed7-48ad-b39c-bbf27f50ba6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a193445-8f29-4d28-b3a3-ce6182a987ad"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element name="TaxCatchAll" ma:index="24" nillable="true" ma:displayName="Taxonomy Catch All Column" ma:hidden="true" ma:list="{4fd0a5eb-5bd5-4419-8c56-9da7f185a722}" ma:internalName="TaxCatchAll" ma:showField="CatchAllData" ma:web="2a193445-8f29-4d28-b3a3-ce6182a987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6d25fa36-6e92-4a8c-bcd7-8d2e2e5dc1cc">
      <Terms xmlns="http://schemas.microsoft.com/office/infopath/2007/PartnerControls"/>
    </lcf76f155ced4ddcb4097134ff3c332f>
    <_ip_UnifiedCompliancePolicyProperties xmlns="http://schemas.microsoft.com/sharepoint/v3" xsi:nil="true"/>
    <TaxCatchAll xmlns="2a193445-8f29-4d28-b3a3-ce6182a987ad" xsi:nil="true"/>
    <SharedWithUsers xmlns="2a193445-8f29-4d28-b3a3-ce6182a987ad">
      <UserInfo>
        <DisplayName>Vivian DEPOUES</DisplayName>
        <AccountId>36</AccountId>
        <AccountType/>
      </UserInfo>
      <UserInfo>
        <DisplayName>Morgane NICOL</DisplayName>
        <AccountId>27</AccountId>
        <AccountType/>
      </UserInfo>
    </SharedWithUsers>
  </documentManagement>
</p:properties>
</file>

<file path=customXml/itemProps1.xml><?xml version="1.0" encoding="utf-8"?>
<ds:datastoreItem xmlns:ds="http://schemas.openxmlformats.org/officeDocument/2006/customXml" ds:itemID="{C3CB70A1-5619-4BEC-B246-B8AA175B9809}"/>
</file>

<file path=customXml/itemProps2.xml><?xml version="1.0" encoding="utf-8"?>
<ds:datastoreItem xmlns:ds="http://schemas.openxmlformats.org/officeDocument/2006/customXml" ds:itemID="{3022625A-16D2-4300-A59D-F96CE67D4012}"/>
</file>

<file path=customXml/itemProps3.xml><?xml version="1.0" encoding="utf-8"?>
<ds:datastoreItem xmlns:ds="http://schemas.openxmlformats.org/officeDocument/2006/customXml" ds:itemID="{E670F3A6-3DA3-49D3-88C9-334CE058551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Vivian DEPOUES</dc:creator>
  <cp:keywords/>
  <dc:description/>
  <cp:lastModifiedBy/>
  <cp:revision/>
  <dcterms:created xsi:type="dcterms:W3CDTF">2022-05-20T20:47:29Z</dcterms:created>
  <dcterms:modified xsi:type="dcterms:W3CDTF">2022-11-02T15:45:30Z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0x01010043565D2027CB5C43B896265DB26BF053</vt:lpwstr>
  </property>
  <property fmtid="{D5CDD505-2E9C-101B-9397-08002B2CF9AE}" pid="3" name="MediaServiceImageTags">
    <vt:lpwstr/>
  </property>
</Properties>
</file>